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19-web.emv.es/Transparencia/GestionEP/Documents/Presupuestos/"/>
    </mc:Choice>
  </mc:AlternateContent>
  <bookViews>
    <workbookView xWindow="32760" yWindow="32760" windowWidth="13260" windowHeight="5910" tabRatio="802" firstSheet="5" activeTab="5"/>
  </bookViews>
  <sheets>
    <sheet name="RESUMEN" sheetId="40" state="hidden" r:id="rId1"/>
    <sheet name="RATIOS" sheetId="41" state="hidden" r:id="rId2"/>
    <sheet name="PRESUPUESTO" sheetId="36" state="hidden" r:id="rId3"/>
    <sheet name="Notas aclaratorias" sheetId="39" r:id="rId4"/>
    <sheet name="CAMBIOS CIERRE CUENTAS ANUALES" sheetId="57" r:id="rId5"/>
    <sheet name="BAL" sheetId="20" r:id="rId6"/>
    <sheet name="PyG" sheetId="1" r:id="rId7"/>
    <sheet name="EFE" sheetId="30" r:id="rId8"/>
    <sheet name="PAIF" sheetId="35" r:id="rId9"/>
    <sheet name="PERSONAL" sheetId="60" r:id="rId10"/>
  </sheets>
  <externalReferences>
    <externalReference r:id="rId11"/>
    <externalReference r:id="rId12"/>
  </externalReferences>
  <definedNames>
    <definedName name="_xlnm.Print_Area" localSheetId="5">BAL!$D$2:$L$70</definedName>
    <definedName name="_xlnm.Print_Area" localSheetId="7">EFE!$B$3:$I$85</definedName>
    <definedName name="_xlnm.Print_Area" localSheetId="8">PAIF!$B$3:$H$50</definedName>
    <definedName name="_xlnm.Print_Area" localSheetId="9">PERSONAL!$A$1:$O$46</definedName>
    <definedName name="_xlnm.Print_Area" localSheetId="2">PRESUPUESTO!$B$2:$G$83</definedName>
    <definedName name="_xlnm.Print_Area" localSheetId="6">PyG!$A$3:$E$96,PyG!$B$98:$E$124</definedName>
    <definedName name="_xlnm.Print_Area" localSheetId="1">RATIOS!$A$1:$I$31</definedName>
    <definedName name="B_D">'[1]Homogeneo por Económicos'!$A$4:$D$43</definedName>
    <definedName name="Base_Datos">'[2]Homogeneo por Económicos'!$A$4:$D$43</definedName>
    <definedName name="BB_AGEN">'[1]Presupuesto NO PM'!$A$1:$Q$2443</definedName>
    <definedName name="BD_AG">'[2]Presupuesto NO PM'!$A$1:$Q$2443</definedName>
    <definedName name="BD_AS">'[1]BD AS'!$A$1:$Q$267</definedName>
    <definedName name="BD_PM">'[2]BD PM'!$A$1:$Q$24</definedName>
  </definedNames>
  <calcPr calcId="977461"/>
</workbook>
</file>

<file path=xl/calcChain.xml><?xml version="1.0" encoding="utf-8"?>
<calcChain xmlns="http://schemas.openxmlformats.org/spreadsheetml/2006/main">
  <c r="C91" i="1" l="1"/>
  <c r="C80" i="1"/>
  <c r="C75" i="1"/>
  <c r="C71" i="1"/>
  <c r="C67" i="1"/>
  <c r="C63" i="1"/>
  <c r="C60" i="1"/>
  <c r="C59" i="1"/>
  <c r="C78" i="1"/>
  <c r="C55" i="1"/>
  <c r="C54" i="1"/>
  <c r="C52" i="1"/>
  <c r="C46" i="1"/>
  <c r="C41" i="1"/>
  <c r="C37" i="1"/>
  <c r="C33" i="1"/>
  <c r="C28" i="1"/>
  <c r="C19" i="1"/>
  <c r="C16" i="1"/>
  <c r="C14" i="1"/>
  <c r="C13" i="1"/>
  <c r="C58" i="1"/>
  <c r="C79" i="1"/>
  <c r="C81" i="1"/>
  <c r="C86" i="1"/>
  <c r="E38" i="30"/>
  <c r="F80" i="1"/>
  <c r="H59" i="20"/>
  <c r="F26" i="1"/>
  <c r="F29" i="1"/>
  <c r="F28" i="1"/>
  <c r="E29" i="1"/>
  <c r="E28" i="1"/>
  <c r="H45" i="20"/>
  <c r="H44" i="20"/>
  <c r="H42" i="20"/>
  <c r="G44" i="20"/>
  <c r="M18" i="20"/>
  <c r="M17" i="20"/>
  <c r="M16" i="20"/>
  <c r="H11" i="60"/>
  <c r="E45" i="30"/>
  <c r="D45" i="30"/>
  <c r="L48" i="20"/>
  <c r="L32" i="20"/>
  <c r="M34" i="20"/>
  <c r="M33" i="20"/>
  <c r="L34" i="20"/>
  <c r="G47" i="20"/>
  <c r="F94" i="1"/>
  <c r="E37" i="30"/>
  <c r="G45" i="20"/>
  <c r="E24" i="35"/>
  <c r="D24" i="35"/>
  <c r="E80" i="1"/>
  <c r="H31" i="20"/>
  <c r="G31" i="20"/>
  <c r="F27" i="1"/>
  <c r="E27" i="1"/>
  <c r="F35" i="1"/>
  <c r="F33" i="1"/>
  <c r="E35" i="1"/>
  <c r="D37" i="30"/>
  <c r="E63" i="1"/>
  <c r="L33" i="20"/>
  <c r="I23" i="35"/>
  <c r="O39" i="60"/>
  <c r="M38" i="60"/>
  <c r="L38" i="60"/>
  <c r="K38" i="60"/>
  <c r="J38" i="60"/>
  <c r="I38" i="60"/>
  <c r="G38" i="60"/>
  <c r="F38" i="60"/>
  <c r="E38" i="60"/>
  <c r="D38" i="60"/>
  <c r="C38" i="60"/>
  <c r="N37" i="60"/>
  <c r="H37" i="60"/>
  <c r="O37" i="60"/>
  <c r="N36" i="60"/>
  <c r="H36" i="60"/>
  <c r="O36" i="60"/>
  <c r="N35" i="60"/>
  <c r="H35" i="60"/>
  <c r="O35" i="60"/>
  <c r="N34" i="60"/>
  <c r="H34" i="60"/>
  <c r="O34" i="60"/>
  <c r="N33" i="60"/>
  <c r="H33" i="60"/>
  <c r="O33" i="60"/>
  <c r="N32" i="60"/>
  <c r="H32" i="60"/>
  <c r="O32" i="60"/>
  <c r="N31" i="60"/>
  <c r="H31" i="60"/>
  <c r="O31" i="60"/>
  <c r="N30" i="60"/>
  <c r="H30" i="60"/>
  <c r="O30" i="60"/>
  <c r="N29" i="60"/>
  <c r="H29" i="60"/>
  <c r="O29" i="60"/>
  <c r="N28" i="60"/>
  <c r="H28" i="60"/>
  <c r="O28" i="60"/>
  <c r="N27" i="60"/>
  <c r="H27" i="60"/>
  <c r="O27" i="60"/>
  <c r="N26" i="60"/>
  <c r="H26" i="60"/>
  <c r="O26" i="60"/>
  <c r="N25" i="60"/>
  <c r="H25" i="60"/>
  <c r="O25" i="60"/>
  <c r="N24" i="60"/>
  <c r="H24" i="60"/>
  <c r="O24" i="60"/>
  <c r="N23" i="60"/>
  <c r="H23" i="60"/>
  <c r="O23" i="60"/>
  <c r="N22" i="60"/>
  <c r="H22" i="60"/>
  <c r="O22" i="60"/>
  <c r="N21" i="60"/>
  <c r="H21" i="60"/>
  <c r="O21" i="60"/>
  <c r="N20" i="60"/>
  <c r="H20" i="60"/>
  <c r="O20" i="60"/>
  <c r="N19" i="60"/>
  <c r="O19" i="60"/>
  <c r="H19" i="60"/>
  <c r="N18" i="60"/>
  <c r="H18" i="60"/>
  <c r="N17" i="60"/>
  <c r="H17" i="60"/>
  <c r="N16" i="60"/>
  <c r="H16" i="60"/>
  <c r="O16" i="60"/>
  <c r="N15" i="60"/>
  <c r="H15" i="60"/>
  <c r="N14" i="60"/>
  <c r="O14" i="60"/>
  <c r="H14" i="60"/>
  <c r="N13" i="60"/>
  <c r="H13" i="60"/>
  <c r="N12" i="60"/>
  <c r="H12" i="60"/>
  <c r="N11" i="60"/>
  <c r="O11" i="60"/>
  <c r="N10" i="60"/>
  <c r="H10" i="60"/>
  <c r="N9" i="60"/>
  <c r="H9" i="60"/>
  <c r="H58" i="20"/>
  <c r="E81" i="30"/>
  <c r="I15" i="35"/>
  <c r="E72" i="30"/>
  <c r="E69" i="30"/>
  <c r="E68" i="30"/>
  <c r="E63" i="30"/>
  <c r="E75" i="30"/>
  <c r="E64" i="30"/>
  <c r="E59" i="30"/>
  <c r="E53" i="30"/>
  <c r="E49" i="30"/>
  <c r="E52" i="30"/>
  <c r="E51" i="30"/>
  <c r="E48" i="30"/>
  <c r="E46" i="30"/>
  <c r="E43" i="30"/>
  <c r="E36" i="30"/>
  <c r="E34" i="30"/>
  <c r="E31" i="30"/>
  <c r="E23" i="30"/>
  <c r="E19" i="30"/>
  <c r="I17" i="35"/>
  <c r="I11" i="35"/>
  <c r="E18" i="30"/>
  <c r="I16" i="35"/>
  <c r="I14" i="35"/>
  <c r="E10" i="30"/>
  <c r="E9" i="30"/>
  <c r="F75" i="1"/>
  <c r="F71" i="1"/>
  <c r="E24" i="30"/>
  <c r="I20" i="35"/>
  <c r="F67" i="1"/>
  <c r="E22" i="30"/>
  <c r="F63" i="1"/>
  <c r="F60" i="1"/>
  <c r="F59" i="1"/>
  <c r="F55" i="1"/>
  <c r="F52" i="1"/>
  <c r="F46" i="1"/>
  <c r="E15" i="30"/>
  <c r="I13" i="35"/>
  <c r="F41" i="1"/>
  <c r="F37" i="1"/>
  <c r="F19" i="1"/>
  <c r="F14" i="1"/>
  <c r="F10" i="1"/>
  <c r="F9" i="1"/>
  <c r="I39" i="35"/>
  <c r="I34" i="35"/>
  <c r="I25" i="35"/>
  <c r="I19" i="35"/>
  <c r="I18" i="35"/>
  <c r="E44" i="35"/>
  <c r="E39" i="35"/>
  <c r="E26" i="35"/>
  <c r="E23" i="35"/>
  <c r="E17" i="35"/>
  <c r="E44" i="30"/>
  <c r="E42" i="30"/>
  <c r="E12" i="35"/>
  <c r="I9" i="35"/>
  <c r="I8" i="35"/>
  <c r="E8" i="35"/>
  <c r="M60" i="20"/>
  <c r="M54" i="20"/>
  <c r="M42" i="20"/>
  <c r="M37" i="20"/>
  <c r="M12" i="20"/>
  <c r="M8" i="20"/>
  <c r="H50" i="20"/>
  <c r="H35" i="20"/>
  <c r="H21" i="20"/>
  <c r="H17" i="20"/>
  <c r="H11" i="20"/>
  <c r="D59" i="30"/>
  <c r="H24" i="20"/>
  <c r="H29" i="35"/>
  <c r="G62" i="30"/>
  <c r="F27" i="36"/>
  <c r="F26" i="36"/>
  <c r="L16" i="20"/>
  <c r="G29" i="35"/>
  <c r="B14" i="20"/>
  <c r="D48" i="30"/>
  <c r="D46" i="30"/>
  <c r="D34" i="30"/>
  <c r="K19" i="20"/>
  <c r="H5" i="57"/>
  <c r="D8" i="57"/>
  <c r="D4" i="57"/>
  <c r="D52" i="30"/>
  <c r="D69" i="30"/>
  <c r="D53" i="30"/>
  <c r="D43" i="30"/>
  <c r="C19" i="30"/>
  <c r="G17" i="35"/>
  <c r="C17" i="30"/>
  <c r="G15" i="35"/>
  <c r="H14" i="35"/>
  <c r="C16" i="30"/>
  <c r="G14" i="35"/>
  <c r="C39" i="20"/>
  <c r="G21" i="20"/>
  <c r="L8" i="20"/>
  <c r="H9" i="35"/>
  <c r="L7" i="20"/>
  <c r="J7" i="20"/>
  <c r="D36" i="30"/>
  <c r="D31" i="30"/>
  <c r="D19" i="30"/>
  <c r="H17" i="35"/>
  <c r="E66" i="36"/>
  <c r="D51" i="30"/>
  <c r="H8" i="35"/>
  <c r="D9" i="35"/>
  <c r="D8" i="35"/>
  <c r="D10" i="30"/>
  <c r="D9" i="30"/>
  <c r="E10" i="1"/>
  <c r="E99" i="1"/>
  <c r="E9" i="1"/>
  <c r="E98" i="1"/>
  <c r="G11" i="20"/>
  <c r="F31" i="30"/>
  <c r="E31" i="36"/>
  <c r="E30" i="36"/>
  <c r="E55" i="36"/>
  <c r="G31" i="30"/>
  <c r="L37" i="20"/>
  <c r="C38" i="20"/>
  <c r="G17" i="20"/>
  <c r="L60" i="20"/>
  <c r="L12" i="20"/>
  <c r="C12" i="35"/>
  <c r="C11" i="35"/>
  <c r="C48" i="35"/>
  <c r="I31" i="30"/>
  <c r="I72" i="30"/>
  <c r="I68" i="30"/>
  <c r="I63" i="30"/>
  <c r="I64" i="30"/>
  <c r="I62" i="30"/>
  <c r="I59" i="30"/>
  <c r="I75" i="30"/>
  <c r="I49" i="30"/>
  <c r="I45" i="30"/>
  <c r="I44" i="30"/>
  <c r="I43" i="30"/>
  <c r="I42" i="30"/>
  <c r="I56" i="30"/>
  <c r="I79" i="30"/>
  <c r="I36" i="30"/>
  <c r="I34" i="30"/>
  <c r="I33" i="30"/>
  <c r="I24" i="30"/>
  <c r="I23" i="30"/>
  <c r="I22" i="30"/>
  <c r="I21" i="30"/>
  <c r="I20" i="30"/>
  <c r="I19" i="30"/>
  <c r="I18" i="30"/>
  <c r="I16" i="30"/>
  <c r="I81" i="30"/>
  <c r="I15" i="30"/>
  <c r="I14" i="30"/>
  <c r="H39" i="35"/>
  <c r="G58" i="20"/>
  <c r="E80" i="30"/>
  <c r="G24" i="20"/>
  <c r="E33" i="1"/>
  <c r="E12" i="36"/>
  <c r="H34" i="30"/>
  <c r="H33" i="30"/>
  <c r="H81" i="30"/>
  <c r="H45" i="30"/>
  <c r="H44" i="30"/>
  <c r="H36" i="30"/>
  <c r="H31" i="30"/>
  <c r="H24" i="30"/>
  <c r="H23" i="30"/>
  <c r="H21" i="30"/>
  <c r="H20" i="30"/>
  <c r="H19" i="30"/>
  <c r="H18" i="30"/>
  <c r="H16" i="30"/>
  <c r="H15" i="30"/>
  <c r="H14" i="30"/>
  <c r="H72" i="30"/>
  <c r="H68" i="30"/>
  <c r="H63" i="30"/>
  <c r="H64" i="30"/>
  <c r="H62" i="30"/>
  <c r="H59" i="30"/>
  <c r="H49" i="30"/>
  <c r="E13" i="36"/>
  <c r="D39" i="35"/>
  <c r="F76" i="36"/>
  <c r="C68" i="30"/>
  <c r="C64" i="30"/>
  <c r="C63" i="30"/>
  <c r="C59" i="30"/>
  <c r="C75" i="30"/>
  <c r="C24" i="40"/>
  <c r="C51" i="30"/>
  <c r="C49" i="30"/>
  <c r="C56" i="30"/>
  <c r="C33" i="30"/>
  <c r="C18" i="30"/>
  <c r="G16" i="35"/>
  <c r="E37" i="1"/>
  <c r="G39" i="35"/>
  <c r="G34" i="35"/>
  <c r="G25" i="35"/>
  <c r="C44" i="35"/>
  <c r="C39" i="35"/>
  <c r="C26" i="35"/>
  <c r="C42" i="30"/>
  <c r="C23" i="35"/>
  <c r="C17" i="35"/>
  <c r="C72" i="30"/>
  <c r="C26" i="30"/>
  <c r="D91" i="1"/>
  <c r="G22" i="35"/>
  <c r="D75" i="1"/>
  <c r="D71" i="1"/>
  <c r="D119" i="1"/>
  <c r="D67" i="1"/>
  <c r="C22" i="30"/>
  <c r="D63" i="1"/>
  <c r="D60" i="1"/>
  <c r="D59" i="1"/>
  <c r="D55" i="1"/>
  <c r="D52" i="1"/>
  <c r="D46" i="1"/>
  <c r="C15" i="30"/>
  <c r="G13" i="35"/>
  <c r="D41" i="1"/>
  <c r="D37" i="1"/>
  <c r="D33" i="1"/>
  <c r="D28" i="1"/>
  <c r="D19" i="1"/>
  <c r="D14" i="1"/>
  <c r="D13" i="1"/>
  <c r="J60" i="20"/>
  <c r="I30" i="30"/>
  <c r="I26" i="30"/>
  <c r="K60" i="20"/>
  <c r="J54" i="20"/>
  <c r="K54" i="20"/>
  <c r="E14" i="1"/>
  <c r="J42" i="20"/>
  <c r="K42" i="20"/>
  <c r="J37" i="20"/>
  <c r="N37" i="20"/>
  <c r="K37" i="20"/>
  <c r="J31" i="20"/>
  <c r="K31" i="20"/>
  <c r="J26" i="20"/>
  <c r="K26" i="20"/>
  <c r="J19" i="20"/>
  <c r="J16" i="20"/>
  <c r="K16" i="20"/>
  <c r="J12" i="20"/>
  <c r="O17" i="20"/>
  <c r="K12" i="20"/>
  <c r="F11" i="20"/>
  <c r="E11" i="20"/>
  <c r="E58" i="20"/>
  <c r="H80" i="30"/>
  <c r="F58" i="20"/>
  <c r="C17" i="40"/>
  <c r="E50" i="20"/>
  <c r="H29" i="30"/>
  <c r="F50" i="20"/>
  <c r="E42" i="20"/>
  <c r="H28" i="30"/>
  <c r="H26" i="30"/>
  <c r="F42" i="20"/>
  <c r="E35" i="20"/>
  <c r="F27" i="30"/>
  <c r="F26" i="30"/>
  <c r="F35" i="20"/>
  <c r="E24" i="20"/>
  <c r="F24" i="20"/>
  <c r="E21" i="20"/>
  <c r="B21" i="20"/>
  <c r="F21" i="20"/>
  <c r="E17" i="20"/>
  <c r="F17" i="20"/>
  <c r="E49" i="36"/>
  <c r="N41" i="20"/>
  <c r="H15" i="35"/>
  <c r="G16" i="30"/>
  <c r="D62" i="36"/>
  <c r="D69" i="36"/>
  <c r="D68" i="36"/>
  <c r="D77" i="36"/>
  <c r="D78" i="36"/>
  <c r="C31" i="40"/>
  <c r="D20" i="36"/>
  <c r="D28" i="36"/>
  <c r="D38" i="36"/>
  <c r="F52" i="36"/>
  <c r="F53" i="36"/>
  <c r="F54" i="36"/>
  <c r="F56" i="36"/>
  <c r="E52" i="36"/>
  <c r="E53" i="36"/>
  <c r="E54" i="36"/>
  <c r="F18" i="36"/>
  <c r="E18" i="36"/>
  <c r="F45" i="36"/>
  <c r="E45" i="36"/>
  <c r="F44" i="36"/>
  <c r="F43" i="36"/>
  <c r="E44" i="36"/>
  <c r="E43" i="36"/>
  <c r="E55" i="1"/>
  <c r="D26" i="35"/>
  <c r="C24" i="20"/>
  <c r="F71" i="36"/>
  <c r="F70" i="36"/>
  <c r="F16" i="36"/>
  <c r="F17" i="36"/>
  <c r="F46" i="36"/>
  <c r="F46" i="30"/>
  <c r="E17" i="36"/>
  <c r="E46" i="36"/>
  <c r="B8" i="40"/>
  <c r="E32" i="36"/>
  <c r="E22" i="36"/>
  <c r="E23" i="36"/>
  <c r="E24" i="36"/>
  <c r="E25" i="36"/>
  <c r="E75" i="36"/>
  <c r="E74" i="36"/>
  <c r="G74" i="36"/>
  <c r="E58" i="36"/>
  <c r="E59" i="36"/>
  <c r="E60" i="36"/>
  <c r="C10" i="40"/>
  <c r="D10" i="40"/>
  <c r="D116" i="1"/>
  <c r="D124" i="1"/>
  <c r="D102" i="1"/>
  <c r="C8" i="40"/>
  <c r="D8" i="40"/>
  <c r="D117" i="1"/>
  <c r="D118" i="1"/>
  <c r="D120" i="1"/>
  <c r="D121" i="1"/>
  <c r="D122" i="1"/>
  <c r="D123" i="1"/>
  <c r="D105" i="1"/>
  <c r="D106" i="1"/>
  <c r="D113" i="1"/>
  <c r="D107" i="1"/>
  <c r="D109" i="1"/>
  <c r="D110" i="1"/>
  <c r="D111" i="1"/>
  <c r="D112" i="1"/>
  <c r="G67" i="36"/>
  <c r="G61" i="36"/>
  <c r="G21" i="36"/>
  <c r="C14" i="40"/>
  <c r="C21" i="40"/>
  <c r="C28" i="40"/>
  <c r="B5" i="40"/>
  <c r="C15" i="40"/>
  <c r="B17" i="40"/>
  <c r="B15" i="40"/>
  <c r="O47" i="20"/>
  <c r="N8" i="20"/>
  <c r="B10" i="20"/>
  <c r="G32" i="30"/>
  <c r="G29" i="30"/>
  <c r="F42" i="30"/>
  <c r="F14" i="30"/>
  <c r="G10" i="36"/>
  <c r="G9" i="36"/>
  <c r="G8" i="36"/>
  <c r="E42" i="36"/>
  <c r="F13" i="36"/>
  <c r="E19" i="1"/>
  <c r="E13" i="1"/>
  <c r="E60" i="1"/>
  <c r="F19" i="36"/>
  <c r="F22" i="36"/>
  <c r="F23" i="36"/>
  <c r="F24" i="36"/>
  <c r="F21" i="36"/>
  <c r="F25" i="36"/>
  <c r="F32" i="36"/>
  <c r="E46" i="1"/>
  <c r="E52" i="1"/>
  <c r="E67" i="1"/>
  <c r="D22" i="30"/>
  <c r="E71" i="1"/>
  <c r="D24" i="30"/>
  <c r="H20" i="35"/>
  <c r="E75" i="1"/>
  <c r="D18" i="30"/>
  <c r="H16" i="35"/>
  <c r="H18" i="35"/>
  <c r="D23" i="30"/>
  <c r="H19" i="35"/>
  <c r="H23" i="35"/>
  <c r="F75" i="36"/>
  <c r="F74" i="36"/>
  <c r="F58" i="36"/>
  <c r="F59" i="36"/>
  <c r="F60" i="36"/>
  <c r="G42" i="36"/>
  <c r="B6" i="35"/>
  <c r="B7" i="30"/>
  <c r="B7" i="1"/>
  <c r="B98" i="1"/>
  <c r="B5" i="36"/>
  <c r="A2" i="40"/>
  <c r="G24" i="30"/>
  <c r="G41" i="30"/>
  <c r="G58" i="30"/>
  <c r="G61" i="30"/>
  <c r="F61" i="30"/>
  <c r="H25" i="35"/>
  <c r="F36" i="36"/>
  <c r="F35" i="36"/>
  <c r="E36" i="36"/>
  <c r="D23" i="35"/>
  <c r="F66" i="36"/>
  <c r="D17" i="35"/>
  <c r="F65" i="36"/>
  <c r="K8" i="20"/>
  <c r="D10" i="1"/>
  <c r="J8" i="20"/>
  <c r="L19" i="20"/>
  <c r="L26" i="20"/>
  <c r="N47" i="20"/>
  <c r="G50" i="20"/>
  <c r="L42" i="20"/>
  <c r="F58" i="30"/>
  <c r="B4" i="30"/>
  <c r="B6" i="30"/>
  <c r="B5" i="30"/>
  <c r="G50" i="30"/>
  <c r="G51" i="30"/>
  <c r="G52" i="30"/>
  <c r="G54" i="30"/>
  <c r="F54" i="30"/>
  <c r="F52" i="30"/>
  <c r="F51" i="30"/>
  <c r="F29" i="30"/>
  <c r="F32" i="30"/>
  <c r="D64" i="30"/>
  <c r="D72" i="30"/>
  <c r="E37" i="36"/>
  <c r="H34" i="35"/>
  <c r="F37" i="36"/>
  <c r="D44" i="35"/>
  <c r="O37" i="20"/>
  <c r="B3" i="35"/>
  <c r="B5" i="35"/>
  <c r="B4" i="35"/>
  <c r="F42" i="36"/>
  <c r="D42" i="36"/>
  <c r="D98" i="1"/>
  <c r="E106" i="1"/>
  <c r="E107" i="1"/>
  <c r="E109" i="1"/>
  <c r="E110" i="1"/>
  <c r="E111" i="1"/>
  <c r="E112" i="1"/>
  <c r="E117" i="1"/>
  <c r="E118" i="1"/>
  <c r="E120" i="1"/>
  <c r="E121" i="1"/>
  <c r="E122" i="1"/>
  <c r="E123" i="1"/>
  <c r="E51" i="36"/>
  <c r="F48" i="36"/>
  <c r="E116" i="1"/>
  <c r="D12" i="35"/>
  <c r="F64" i="36"/>
  <c r="G43" i="30"/>
  <c r="H22" i="30"/>
  <c r="B10" i="40"/>
  <c r="H13" i="30"/>
  <c r="I13" i="30"/>
  <c r="F50" i="30"/>
  <c r="F31" i="36"/>
  <c r="G53" i="30"/>
  <c r="F12" i="36"/>
  <c r="F11" i="36"/>
  <c r="E91" i="1"/>
  <c r="F55" i="36"/>
  <c r="B38" i="20"/>
  <c r="H43" i="30"/>
  <c r="H42" i="30"/>
  <c r="H56" i="30"/>
  <c r="H79" i="30"/>
  <c r="E56" i="36"/>
  <c r="E76" i="36"/>
  <c r="L54" i="20"/>
  <c r="E41" i="1"/>
  <c r="F51" i="36"/>
  <c r="E48" i="36"/>
  <c r="E47" i="36"/>
  <c r="E62" i="36"/>
  <c r="B39" i="20"/>
  <c r="F53" i="30"/>
  <c r="F16" i="30"/>
  <c r="N17" i="20"/>
  <c r="E65" i="36"/>
  <c r="D29" i="36"/>
  <c r="D39" i="36"/>
  <c r="D83" i="36"/>
  <c r="C29" i="40"/>
  <c r="E64" i="36"/>
  <c r="E63" i="36"/>
  <c r="F60" i="30"/>
  <c r="D108" i="1"/>
  <c r="D81" i="36"/>
  <c r="C30" i="40"/>
  <c r="G35" i="20"/>
  <c r="F50" i="36"/>
  <c r="E105" i="1"/>
  <c r="K36" i="20"/>
  <c r="E16" i="36"/>
  <c r="E119" i="1"/>
  <c r="D68" i="30"/>
  <c r="D63" i="30"/>
  <c r="D75" i="30"/>
  <c r="G60" i="30"/>
  <c r="E71" i="36"/>
  <c r="E70" i="36"/>
  <c r="E77" i="36"/>
  <c r="F45" i="30"/>
  <c r="N12" i="20"/>
  <c r="B24" i="40"/>
  <c r="N31" i="20"/>
  <c r="F62" i="30"/>
  <c r="E27" i="36"/>
  <c r="E26" i="36"/>
  <c r="G26" i="36"/>
  <c r="I29" i="35"/>
  <c r="F44" i="30"/>
  <c r="B23" i="40"/>
  <c r="F43" i="30"/>
  <c r="E11" i="36"/>
  <c r="G11" i="36"/>
  <c r="E15" i="36"/>
  <c r="E14" i="36"/>
  <c r="C15" i="20"/>
  <c r="J51" i="20"/>
  <c r="J36" i="20"/>
  <c r="L31" i="20"/>
  <c r="E50" i="36"/>
  <c r="B17" i="20"/>
  <c r="B16" i="40"/>
  <c r="O9" i="60"/>
  <c r="O13" i="60"/>
  <c r="O10" i="60"/>
  <c r="O18" i="60"/>
  <c r="O17" i="60"/>
  <c r="O15" i="60"/>
  <c r="O12" i="60"/>
  <c r="H38" i="60"/>
  <c r="H41" i="60"/>
  <c r="D11" i="35"/>
  <c r="G45" i="30"/>
  <c r="D33" i="30"/>
  <c r="F57" i="36"/>
  <c r="F13" i="1"/>
  <c r="E21" i="36"/>
  <c r="E57" i="36"/>
  <c r="G57" i="36"/>
  <c r="D81" i="30"/>
  <c r="B9" i="40"/>
  <c r="E19" i="36"/>
  <c r="D15" i="30"/>
  <c r="H13" i="35"/>
  <c r="F91" i="1"/>
  <c r="I22" i="35"/>
  <c r="F49" i="36"/>
  <c r="F47" i="36"/>
  <c r="F62" i="36"/>
  <c r="B7" i="40"/>
  <c r="I6" i="41"/>
  <c r="H6" i="41"/>
  <c r="G6" i="41"/>
  <c r="B11" i="40"/>
  <c r="B6" i="40"/>
  <c r="E33" i="36"/>
  <c r="F30" i="36"/>
  <c r="H75" i="30"/>
  <c r="E33" i="30"/>
  <c r="E124" i="1"/>
  <c r="E102" i="1"/>
  <c r="E58" i="1"/>
  <c r="F15" i="36"/>
  <c r="F14" i="36"/>
  <c r="F20" i="36"/>
  <c r="C21" i="30"/>
  <c r="D78" i="1"/>
  <c r="D101" i="1"/>
  <c r="D58" i="1"/>
  <c r="D79" i="1"/>
  <c r="C9" i="40"/>
  <c r="D9" i="40"/>
  <c r="F78" i="1"/>
  <c r="E21" i="30"/>
  <c r="H39" i="30"/>
  <c r="I39" i="30"/>
  <c r="F58" i="1"/>
  <c r="E108" i="1"/>
  <c r="E113" i="1"/>
  <c r="E101" i="1"/>
  <c r="E100" i="1"/>
  <c r="C14" i="30"/>
  <c r="H22" i="35"/>
  <c r="E59" i="1"/>
  <c r="E72" i="36"/>
  <c r="E30" i="30"/>
  <c r="L36" i="20"/>
  <c r="K11" i="20"/>
  <c r="F10" i="20"/>
  <c r="F70" i="20"/>
  <c r="C16" i="40"/>
  <c r="G10" i="20"/>
  <c r="G70" i="20"/>
  <c r="E10" i="20"/>
  <c r="E70" i="20"/>
  <c r="O31" i="20"/>
  <c r="B15" i="20"/>
  <c r="C14" i="20"/>
  <c r="C13" i="20"/>
  <c r="K10" i="20"/>
  <c r="M51" i="20"/>
  <c r="F33" i="20"/>
  <c r="H10" i="20"/>
  <c r="H70" i="20"/>
  <c r="H33" i="20"/>
  <c r="E33" i="20"/>
  <c r="K51" i="20"/>
  <c r="L51" i="20"/>
  <c r="M32" i="20"/>
  <c r="J11" i="20"/>
  <c r="J10" i="20"/>
  <c r="J70" i="20"/>
  <c r="G42" i="20"/>
  <c r="G33" i="20"/>
  <c r="G27" i="30"/>
  <c r="I21" i="35"/>
  <c r="H21" i="35"/>
  <c r="B6" i="41"/>
  <c r="C6" i="41"/>
  <c r="D6" i="41"/>
  <c r="B18" i="40"/>
  <c r="C10" i="30"/>
  <c r="C9" i="35"/>
  <c r="G9" i="35"/>
  <c r="D99" i="1"/>
  <c r="B28" i="40"/>
  <c r="B21" i="40"/>
  <c r="B14" i="40"/>
  <c r="H83" i="30"/>
  <c r="I80" i="30"/>
  <c r="I83" i="30"/>
  <c r="F25" i="30"/>
  <c r="F15" i="30"/>
  <c r="D80" i="30"/>
  <c r="M48" i="20"/>
  <c r="M36" i="20"/>
  <c r="B24" i="20"/>
  <c r="G30" i="30"/>
  <c r="D30" i="30"/>
  <c r="F59" i="30"/>
  <c r="F30" i="30"/>
  <c r="F28" i="30"/>
  <c r="C21" i="20"/>
  <c r="B11" i="20"/>
  <c r="F18" i="30"/>
  <c r="D14" i="30"/>
  <c r="E14" i="30"/>
  <c r="E39" i="30"/>
  <c r="G43" i="36"/>
  <c r="G14" i="36"/>
  <c r="E20" i="36"/>
  <c r="E78" i="1"/>
  <c r="E79" i="1"/>
  <c r="D21" i="30"/>
  <c r="D81" i="1"/>
  <c r="D86" i="1"/>
  <c r="C13" i="30"/>
  <c r="C39" i="30"/>
  <c r="D100" i="1"/>
  <c r="C7" i="40"/>
  <c r="D7" i="40"/>
  <c r="F79" i="1"/>
  <c r="C18" i="40"/>
  <c r="G28" i="30"/>
  <c r="G26" i="30"/>
  <c r="E28" i="30"/>
  <c r="E26" i="30"/>
  <c r="K70" i="20"/>
  <c r="D28" i="30"/>
  <c r="D26" i="30"/>
  <c r="E6" i="41"/>
  <c r="M31" i="20"/>
  <c r="G20" i="36"/>
  <c r="D13" i="30"/>
  <c r="E81" i="1"/>
  <c r="E86" i="1"/>
  <c r="G12" i="35"/>
  <c r="C6" i="40"/>
  <c r="D6" i="40"/>
  <c r="C11" i="40"/>
  <c r="D11" i="40"/>
  <c r="F81" i="1"/>
  <c r="F86" i="1"/>
  <c r="E13" i="30"/>
  <c r="C22" i="40"/>
  <c r="B25" i="40"/>
  <c r="B22" i="40"/>
  <c r="H12" i="35"/>
  <c r="L23" i="20"/>
  <c r="L11" i="20"/>
  <c r="L10" i="20"/>
  <c r="L70" i="20"/>
  <c r="L71" i="20"/>
  <c r="M23" i="20"/>
  <c r="M11" i="20"/>
  <c r="M10" i="20"/>
  <c r="M70" i="20"/>
  <c r="M71" i="20"/>
  <c r="I12" i="35"/>
  <c r="N38" i="60"/>
  <c r="G50" i="35"/>
  <c r="D48" i="35"/>
  <c r="D50" i="35"/>
  <c r="F72" i="36"/>
  <c r="G46" i="30"/>
  <c r="E11" i="35"/>
  <c r="E48" i="35"/>
  <c r="H11" i="35"/>
  <c r="H48" i="35"/>
  <c r="F28" i="36"/>
  <c r="F29" i="36"/>
  <c r="E28" i="36"/>
  <c r="O12" i="20"/>
  <c r="D49" i="30"/>
  <c r="G11" i="35"/>
  <c r="G48" i="35"/>
  <c r="G77" i="36"/>
  <c r="C79" i="30"/>
  <c r="C25" i="40"/>
  <c r="C23" i="40"/>
  <c r="F63" i="36"/>
  <c r="F68" i="36"/>
  <c r="F69" i="36"/>
  <c r="F81" i="36"/>
  <c r="G62" i="36"/>
  <c r="E29" i="36"/>
  <c r="G28" i="36"/>
  <c r="G63" i="36"/>
  <c r="E68" i="36"/>
  <c r="G68" i="36"/>
  <c r="G30" i="36"/>
  <c r="E35" i="36"/>
  <c r="G35" i="36"/>
  <c r="C50" i="35"/>
  <c r="G70" i="36"/>
  <c r="G44" i="30"/>
  <c r="E56" i="30"/>
  <c r="E79" i="30"/>
  <c r="C11" i="20"/>
  <c r="C17" i="20"/>
  <c r="G47" i="36"/>
  <c r="F77" i="36"/>
  <c r="I48" i="35"/>
  <c r="E50" i="35"/>
  <c r="F38" i="36"/>
  <c r="F39" i="36"/>
  <c r="D44" i="30"/>
  <c r="D42" i="30"/>
  <c r="D56" i="30"/>
  <c r="D39" i="30"/>
  <c r="D79" i="30"/>
  <c r="N41" i="60"/>
  <c r="O38" i="60"/>
  <c r="I50" i="35"/>
  <c r="H50" i="35"/>
  <c r="F33" i="36"/>
  <c r="F78" i="36"/>
  <c r="F83" i="36"/>
  <c r="G29" i="36"/>
  <c r="E69" i="36"/>
  <c r="E38" i="36"/>
  <c r="G38" i="36"/>
  <c r="O41" i="60"/>
  <c r="G69" i="36"/>
  <c r="E78" i="36"/>
  <c r="E39" i="36"/>
  <c r="E81" i="36"/>
  <c r="G39" i="36"/>
  <c r="B30" i="40"/>
  <c r="D30" i="40"/>
  <c r="E83" i="36"/>
  <c r="B29" i="40"/>
  <c r="D29" i="40"/>
  <c r="G78" i="36"/>
  <c r="B31" i="40"/>
  <c r="D31" i="40"/>
</calcChain>
</file>

<file path=xl/comments1.xml><?xml version="1.0" encoding="utf-8"?>
<comments xmlns="http://schemas.openxmlformats.org/spreadsheetml/2006/main">
  <authors>
    <author>JVR018</author>
  </authors>
  <commentList>
    <comment ref="O7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G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Comprobación inexacta y oculta. Se compara B38 con B39 y por otro lado C38 con C39</t>
        </r>
      </text>
    </comment>
  </commentList>
</comments>
</file>

<file path=xl/comments2.xml><?xml version="1.0" encoding="utf-8"?>
<comments xmlns="http://schemas.openxmlformats.org/spreadsheetml/2006/main">
  <authors>
    <author>Carmen Carcele Sanchez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AJUSTADO POR JULIO HERNANZ EL 19 DE JULIO 2016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CONSTRUCCIONES EN CURSO + SUBVENCIÓN IVA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CONSTRUCCIONES EN CURSO + SUBVENCIÓN IVA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AMPLIACIÓN DE CAPITAL POR ARROYO DEL FRESNO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>Carmen Carcele Sanchez:</t>
        </r>
        <r>
          <rPr>
            <sz val="9"/>
            <color indexed="81"/>
            <rFont val="Tahoma"/>
            <family val="2"/>
          </rPr>
          <t xml:space="preserve">
AMPLIACIÓN DE CAPITAL POR ARROYO DEL FRESNO</t>
        </r>
      </text>
    </comment>
  </commentList>
</comments>
</file>

<file path=xl/comments3.xml><?xml version="1.0" encoding="utf-8"?>
<comments xmlns="http://schemas.openxmlformats.org/spreadsheetml/2006/main">
  <authors>
    <author>Carmen Carcele Sánchez</author>
  </authors>
  <commentList>
    <comment ref="I30" authorId="0" shapeId="0">
      <text>
        <r>
          <rPr>
            <b/>
            <sz val="9"/>
            <color indexed="81"/>
            <rFont val="Tahoma"/>
            <family val="2"/>
          </rPr>
          <t>Carmen Carcele Sánchez:</t>
        </r>
        <r>
          <rPr>
            <sz val="9"/>
            <color indexed="81"/>
            <rFont val="Tahoma"/>
            <family val="2"/>
          </rPr>
          <t xml:space="preserve">
67 M€ obras y 10 M€ de compra vivienda</t>
        </r>
      </text>
    </comment>
  </commentList>
</comments>
</file>

<file path=xl/sharedStrings.xml><?xml version="1.0" encoding="utf-8"?>
<sst xmlns="http://schemas.openxmlformats.org/spreadsheetml/2006/main" count="555" uniqueCount="458">
  <si>
    <t>INGRESOS</t>
  </si>
  <si>
    <t>GASTOS</t>
  </si>
  <si>
    <t>ACTIVO</t>
  </si>
  <si>
    <t>BALANCE DE SITUACIÓN</t>
  </si>
  <si>
    <t>PRESUPUESTO</t>
  </si>
  <si>
    <t>Total</t>
  </si>
  <si>
    <t>%</t>
  </si>
  <si>
    <t>TOTAL</t>
  </si>
  <si>
    <t>IMPUESTOS DIRECTOS</t>
  </si>
  <si>
    <t>IMPUESTOS INDIRECTOS</t>
  </si>
  <si>
    <t>TASAS Y OTROS INGRESOS</t>
  </si>
  <si>
    <t>TRANSFERENCIAS CORRIENTES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</si>
  <si>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</si>
  <si>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</si>
  <si>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</si>
  <si>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</si>
  <si>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</si>
  <si>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</si>
  <si>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</si>
  <si>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</si>
  <si>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</si>
  <si>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GASTOS DE PERSONAL</t>
  </si>
  <si>
    <t>GASTOS EN BIENES CORRIENTES Y SERVICIOS</t>
  </si>
  <si>
    <t>GASTOS FINANCIEROS</t>
  </si>
  <si>
    <t>INVERSIONES REALES</t>
  </si>
  <si>
    <t>PATRIMONIO NETO Y PASIVO</t>
  </si>
  <si>
    <t>A) ACTIVO NO CORRIENTE</t>
  </si>
  <si>
    <t xml:space="preserve">     I. Inmovilizado intangible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</si>
  <si>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</si>
  <si>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</si>
  <si>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</si>
  <si>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</si>
  <si>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</si>
  <si>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</si>
  <si>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</si>
  <si>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</si>
  <si>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</si>
  <si>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</si>
  <si>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</si>
  <si>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</si>
  <si>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</si>
  <si>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</si>
  <si>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</si>
  <si>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</si>
  <si>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III. Deudores comerciales y otras cuentas a cobrar</t>
  </si>
  <si>
    <t xml:space="preserve">              1. Clientes por ventas y prestaciones de servicios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</si>
  <si>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</si>
  <si>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</si>
  <si>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</si>
  <si>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</si>
  <si>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</si>
  <si>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</si>
  <si>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</si>
  <si>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</si>
  <si>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</si>
  <si>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</si>
  <si>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</si>
  <si>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</si>
  <si>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</si>
  <si>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</si>
  <si>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</si>
  <si>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</si>
  <si>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</si>
  <si>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</si>
  <si>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</si>
  <si>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</si>
  <si>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</si>
  <si>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</si>
  <si>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</si>
  <si>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</si>
  <si>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</si>
  <si>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</si>
  <si>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>A-3) Subvenciones, donaciones y legados recibidos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</si>
  <si>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</si>
  <si>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</si>
  <si>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</si>
  <si>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</si>
  <si>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</si>
  <si>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</t>
  </si>
  <si>
    <t xml:space="preserve">    II. Deudas a largo plazo</t>
  </si>
  <si>
    <t xml:space="preserve">         1. Deudas con entidades de credito</t>
  </si>
  <si>
    <t xml:space="preserve">   IV. Pasivos por impuesto diferido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</si>
  <si>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</si>
  <si>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</si>
  <si>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</si>
  <si>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</si>
  <si>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V. Acreedores comerciales y otras cuentas a pagar</t>
  </si>
  <si>
    <t xml:space="preserve">        1.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</si>
  <si>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</si>
  <si>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</si>
  <si>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</si>
  <si>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</si>
  <si>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</si>
  <si>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>TOTAL PATRIMONIO NETO Y PASIVO (A+B+C)</t>
  </si>
  <si>
    <t xml:space="preserve">    II. Operaciones de cobertura</t>
  </si>
  <si>
    <t xml:space="preserve">   III. Otros</t>
  </si>
  <si>
    <t>A) OPERACIONES CONTINUADAS</t>
  </si>
  <si>
    <t xml:space="preserve">      1. Importe neto de la cifra de negocios</t>
  </si>
  <si>
    <t xml:space="preserve">             a) Ventas</t>
  </si>
  <si>
    <t xml:space="preserve">             b) Prestaciones de servicios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</si>
  <si>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</si>
  <si>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</si>
  <si>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</si>
  <si>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</si>
  <si>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</si>
  <si>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</si>
  <si>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</si>
  <si>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</si>
  <si>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</si>
  <si>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</si>
  <si>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</si>
  <si>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a) Ingresos accesorios y otros de gestión corriente</t>
  </si>
  <si>
    <t xml:space="preserve">      5. Otros ingresos de explotación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</si>
  <si>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</si>
  <si>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</si>
  <si>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</si>
  <si>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</si>
  <si>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</si>
  <si>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</si>
  <si>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</si>
  <si>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</si>
  <si>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</si>
  <si>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</si>
  <si>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</si>
  <si>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</si>
  <si>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</si>
  <si>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</si>
  <si>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</si>
  <si>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</si>
  <si>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</si>
  <si>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</si>
  <si>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</si>
  <si>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13. Ingresos financieros</t>
  </si>
  <si>
    <t xml:space="preserve">             a) De participaciones en instrumentos de patrimonio</t>
  </si>
  <si>
    <t xml:space="preserve">            b) Por deudas con terceros</t>
  </si>
  <si>
    <t xml:space="preserve">            a) Cartera de negociación y otros</t>
  </si>
  <si>
    <t xml:space="preserve">            b) Imputación al resultado del ejercicio por AFDV</t>
  </si>
  <si>
    <t xml:space="preserve">     14. Gastos financieros</t>
  </si>
  <si>
    <t xml:space="preserve">     15. Variación de valor razonable en instrumentos financieros</t>
  </si>
  <si>
    <t xml:space="preserve">     16. Diferencias de cambio</t>
  </si>
  <si>
    <t xml:space="preserve">     18. Impuesto sobre beneficios</t>
  </si>
  <si>
    <t>B) OPERACIONES INTERRUMPIDAS</t>
  </si>
  <si>
    <t>A.5) RESULTADO DEL EJERCICIO (A.4+19)</t>
  </si>
  <si>
    <t xml:space="preserve">              d) Deterioro de mercaderías, materias primas y otros aprov.</t>
  </si>
  <si>
    <t xml:space="preserve">     17. Deterioro y resultado por enajenaciones de instrumentos financ.</t>
  </si>
  <si>
    <t xml:space="preserve">     19. Rdo. ejercicio procedente de op. interrumpidas neto de impuestos</t>
  </si>
  <si>
    <t>NOTA: las ventas y/o prestaciones de servicios deben figurar desglosadas, cómo máximo en cuatro apartados, que recojan las diferentes actividades o líneas de negocio.</t>
  </si>
  <si>
    <t>A) FLUJOS DE EFECTIVO DE LAS ACTIV. DE EXPLOTACION</t>
  </si>
  <si>
    <t xml:space="preserve">   1. Resultado del ejercicio antes de impuestos</t>
  </si>
  <si>
    <t xml:space="preserve">   2. Ajustes del resultado</t>
  </si>
  <si>
    <t xml:space="preserve">       a) Amortización del inmovilizado</t>
  </si>
  <si>
    <t xml:space="preserve">       b) Correcciones valorativas por deterioro</t>
  </si>
  <si>
    <t xml:space="preserve">       c) Variación de provisiones</t>
  </si>
  <si>
    <t xml:space="preserve">       d) Imputación de subvenciones</t>
  </si>
  <si>
    <t xml:space="preserve">       e) Resultados por bajas y enajenaciones del inmovilizado</t>
  </si>
  <si>
    <t xml:space="preserve">       f) Resultados por bajas y enajenaciones de instrumentos financieros</t>
  </si>
  <si>
    <t xml:space="preserve">       g) Ingresos financieros</t>
  </si>
  <si>
    <t xml:space="preserve">       h) Gastos financieros</t>
  </si>
  <si>
    <t xml:space="preserve">       i) Diferencias de cambio</t>
  </si>
  <si>
    <t xml:space="preserve">       j) Variación de valor razonable en instrumentos financieros</t>
  </si>
  <si>
    <t xml:space="preserve">       k) Otros ingresos y gastos</t>
  </si>
  <si>
    <t xml:space="preserve">   3.Cambios en el capital corriente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</si>
  <si>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</si>
  <si>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</si>
  <si>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</si>
  <si>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</si>
  <si>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 xml:space="preserve">       a) Existencias</t>
  </si>
  <si>
    <t xml:space="preserve">       b) Deudores y otras cuentas a cobrar</t>
  </si>
  <si>
    <t xml:space="preserve">       c) Otros activos corrientes</t>
  </si>
  <si>
    <t xml:space="preserve">       d) Acreedores y otras cuentas a pagar</t>
  </si>
  <si>
    <t xml:space="preserve">       e) Otros pasivos corrientes</t>
  </si>
  <si>
    <t xml:space="preserve">        f) Otros activos y pasivos no corrientes</t>
  </si>
  <si>
    <t xml:space="preserve">   4. Otros flujos de efectivo de las actividades de explotación</t>
  </si>
  <si>
    <t xml:space="preserve">       d) Pagos o cobros por impuesto sobre beneficios</t>
  </si>
  <si>
    <t>B) FLUJOS DE EFECTIVO DE LAS ACTIV. DE INVERSION</t>
  </si>
  <si>
    <t xml:space="preserve">   6. Pagos por inversiones</t>
  </si>
  <si>
    <t xml:space="preserve">       a) Inmovilizado intangible</t>
  </si>
  <si>
    <t xml:space="preserve">       b) Inmovilizado material</t>
  </si>
  <si>
    <t xml:space="preserve">       c) Inversiones inmobiliarias</t>
  </si>
  <si>
    <t xml:space="preserve">       d) Otros activos financieros</t>
  </si>
  <si>
    <t xml:space="preserve">       e) Activos no corrientes mantenidos para venta</t>
  </si>
  <si>
    <t xml:space="preserve">       f) Otros activos</t>
  </si>
  <si>
    <t xml:space="preserve">  8. Flujos de efectivo de las actividades de inversión (6+7)</t>
  </si>
  <si>
    <t xml:space="preserve">   5. Flujos de efectivo de las actividades de explotación (1+2+3+4)</t>
  </si>
  <si>
    <t>C) FLUJOS DE EFECTIVO DE LAS ACTIV. DE FINANCIACION</t>
  </si>
  <si>
    <t xml:space="preserve">   9.Cobros y pagos por instrumentros de patrimonio</t>
  </si>
  <si>
    <t xml:space="preserve">   7. Cobros por desinversiones</t>
  </si>
  <si>
    <t xml:space="preserve">       a) Emisión de instrumentos de patrimonio</t>
  </si>
  <si>
    <t xml:space="preserve">       b) Amortización de instrumentos de patrimonio</t>
  </si>
  <si>
    <t xml:space="preserve">       c) Subvenciones, donaciones y legados recibidos</t>
  </si>
  <si>
    <t xml:space="preserve">   10. Cobros y pagos por instrumentos de pasivo financiero</t>
  </si>
  <si>
    <t xml:space="preserve">       a) Emisión</t>
  </si>
  <si>
    <t xml:space="preserve">       b) Devolución y amortización de</t>
  </si>
  <si>
    <t xml:space="preserve">   11. Pagos por dividendos y remun. de otros instr. de patrimonio</t>
  </si>
  <si>
    <t xml:space="preserve">       a) Dividendos</t>
  </si>
  <si>
    <t xml:space="preserve">       b) Remuneración de otros instrumentos de patrimonio</t>
  </si>
  <si>
    <t xml:space="preserve">  12. Flujos de efectivo de las actividades de financiación (9+10+11)</t>
  </si>
  <si>
    <t>D) EFECTO DE LAS VARIACIONES DE LOS TIPOS DE CAMBIO</t>
  </si>
  <si>
    <t>E) AUMENTO / DISMINUCION NETA DEL EFECTIVO
 O EQUIVALENTES   (5+8+12+D)</t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</si>
  <si>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</si>
  <si>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</si>
  <si>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</si>
  <si>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</si>
  <si>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V. Periodificaciones a corto plazo</t>
  </si>
  <si>
    <t xml:space="preserve">     I. Activos financieros disponibles venta</t>
  </si>
  <si>
    <t xml:space="preserve">         2. Acreedores por arrendamiento financiero</t>
  </si>
  <si>
    <t xml:space="preserve">         3. Derivados</t>
  </si>
  <si>
    <t xml:space="preserve">         4. Otros pasivos financieros</t>
  </si>
  <si>
    <t xml:space="preserve">   V. Periodificaciones a largo plazo</t>
  </si>
  <si>
    <t xml:space="preserve">  VI. Periodificaciones a corto plazo</t>
  </si>
  <si>
    <t xml:space="preserve">              1. Desarrollo</t>
  </si>
  <si>
    <t xml:space="preserve">              a) Sueldos, salarios y asimilados</t>
  </si>
  <si>
    <t xml:space="preserve">             b) De valores negociables y otros instrumentos financieros</t>
  </si>
  <si>
    <t xml:space="preserve">            c) Por actualización de provisiones</t>
  </si>
  <si>
    <t xml:space="preserve">               b) Resultados por enajenaciones y otras</t>
  </si>
  <si>
    <t xml:space="preserve">       a) Pagos de intereses </t>
  </si>
  <si>
    <t xml:space="preserve">       b) Cobros de dividendos</t>
  </si>
  <si>
    <t xml:space="preserve">       c)Cobros de intereses</t>
  </si>
  <si>
    <t xml:space="preserve">            3. Otras deudas</t>
  </si>
  <si>
    <t>Efectivo o equvalentes al comienzo del ejercicio</t>
  </si>
  <si>
    <t>Efectivo o equvalentes al final del ejercicio</t>
  </si>
  <si>
    <t xml:space="preserve">     7.a) Servicios exteriores</t>
  </si>
  <si>
    <t xml:space="preserve">     7.b) Tributos</t>
  </si>
  <si>
    <t xml:space="preserve">     7.d) Otros gastos de gestión corriente</t>
  </si>
  <si>
    <t xml:space="preserve">               a) Ingresos excepcionales</t>
  </si>
  <si>
    <t xml:space="preserve">               b) Gastos excepcionales</t>
  </si>
  <si>
    <t xml:space="preserve">    12.b) Gastos excepcionales</t>
  </si>
  <si>
    <t xml:space="preserve">      5.b) Subvenciones de explotación del Ayuntamiento</t>
  </si>
  <si>
    <t xml:space="preserve">      5.c) Otras subvenciones de explotación</t>
  </si>
  <si>
    <t xml:space="preserve">      5.a) Ingresos accesorios y otros de gestión corriente</t>
  </si>
  <si>
    <t xml:space="preserve">     12.a) Ingresos excepcionales</t>
  </si>
  <si>
    <t xml:space="preserve">            1. Deudas con entidades de crédito</t>
  </si>
  <si>
    <t>Ajustes variables</t>
  </si>
  <si>
    <t xml:space="preserve">    II. Otras subvenciones de capital</t>
  </si>
  <si>
    <t xml:space="preserve">   III. Adscripción de bienes</t>
  </si>
  <si>
    <t>COMPROBACIONES</t>
  </si>
  <si>
    <t xml:space="preserve">              2. Ayuntamiento, OOAA, Empr.Municipales, deudores</t>
  </si>
  <si>
    <t xml:space="preserve">   III. Deudas con el Ayto., OOAA, Empr.Munic. a LP</t>
  </si>
  <si>
    <t xml:space="preserve">            a) Por deudas con el Ayuntamiento, OOAA y Empr.Municipales</t>
  </si>
  <si>
    <t xml:space="preserve">              6. Otros activos financieros</t>
  </si>
  <si>
    <t xml:space="preserve">              5. Inv.financ. en Empresas Municipales, OOAA y Ayto</t>
  </si>
  <si>
    <t xml:space="preserve">                     a.1) En Empresas Municipales, OOAA y Ayto</t>
  </si>
  <si>
    <t xml:space="preserve">                     a.2) En terceros</t>
  </si>
  <si>
    <t xml:space="preserve">                     b.1) En Empresas Municipales, OOAA y Ayto</t>
  </si>
  <si>
    <t xml:space="preserve">                     b.2) En terceros</t>
  </si>
  <si>
    <t xml:space="preserve">               6. Anticipos a proveedores</t>
  </si>
  <si>
    <t>APLICACIÓN DE FONDOS</t>
  </si>
  <si>
    <t>ORIGEN DE FONDOS</t>
  </si>
  <si>
    <t>1.AUTOFINANCIACIÓN</t>
  </si>
  <si>
    <t xml:space="preserve">   1.1.Resultados del ejercicio</t>
  </si>
  <si>
    <t xml:space="preserve">          2.2.a).Terrenos y construcciones</t>
  </si>
  <si>
    <t xml:space="preserve">          2.2.b).Instalaciones técnicas y maquinaria</t>
  </si>
  <si>
    <t xml:space="preserve">          2.2.c).Otras instalaciones,utillaje y mobiliario</t>
  </si>
  <si>
    <t xml:space="preserve">          2.2.d).Anticipos e inmovilizado en curso</t>
  </si>
  <si>
    <t xml:space="preserve">          2.2.e).Otro inmovilizado material</t>
  </si>
  <si>
    <t>2.APORTACIONES DE CAPITAL</t>
  </si>
  <si>
    <t xml:space="preserve">    2.1. Del Ayuntamiento de Madrid</t>
  </si>
  <si>
    <t xml:space="preserve">    2.2. De otros accionistas</t>
  </si>
  <si>
    <t>3.SUBVENCIONES DE CAPITAL</t>
  </si>
  <si>
    <t xml:space="preserve">    3.1.Del Ayuntamiento</t>
  </si>
  <si>
    <t xml:space="preserve">    3.2.De otros</t>
  </si>
  <si>
    <t>4.FINANCIACIÓN AJENA A LARGO PLAZO</t>
  </si>
  <si>
    <t xml:space="preserve">    4.1.Deudas con entidades de crédito</t>
  </si>
  <si>
    <t xml:space="preserve">    5.2.Inmovilizado material</t>
  </si>
  <si>
    <t>TOTAL APLICACIONES</t>
  </si>
  <si>
    <t>TOTAL ORÍGENES</t>
  </si>
  <si>
    <t xml:space="preserve">   IV. Deudas con el Ayto., OOAA, Empr.Munic. a CP</t>
  </si>
  <si>
    <t>1.ADQUISICIONES DE INMOVILIZADO</t>
  </si>
  <si>
    <t xml:space="preserve">    1.1.Inmovilizado intangible</t>
  </si>
  <si>
    <t xml:space="preserve">          1.1.a).Gastos de Investigación y desarrollo</t>
  </si>
  <si>
    <t xml:space="preserve">          1.1.b).Propiedad Industrial</t>
  </si>
  <si>
    <t xml:space="preserve">          1.1.c).Aplicaciones informáticas</t>
  </si>
  <si>
    <t xml:space="preserve">          1.1.d).Otro inmovilizado inmaterial</t>
  </si>
  <si>
    <t xml:space="preserve">    1.2.Inmovilizado material</t>
  </si>
  <si>
    <t xml:space="preserve">    1.3.Inversiones inmobiliarias</t>
  </si>
  <si>
    <t xml:space="preserve">          1.3.a).Terrenos</t>
  </si>
  <si>
    <t xml:space="preserve">          1.3.b).Construcciones</t>
  </si>
  <si>
    <t xml:space="preserve">    1.4.Inversiones financieras.</t>
  </si>
  <si>
    <t xml:space="preserve">          1.4.a). Instrumentos de patrimonio</t>
  </si>
  <si>
    <t xml:space="preserve">          1.4.b). Créditos a terceros</t>
  </si>
  <si>
    <t xml:space="preserve">          1.4.c). Valores representativos de deuda</t>
  </si>
  <si>
    <t xml:space="preserve">          1.4.d). Derivados</t>
  </si>
  <si>
    <t xml:space="preserve">          1.4.e). Inv.financ. en Empresas Municipales, OOAA y Ayto</t>
  </si>
  <si>
    <t xml:space="preserve">          1.4.f). Otros activos financieros</t>
  </si>
  <si>
    <t>2.REDUCCIÓN DE CAPITAL</t>
  </si>
  <si>
    <t>3.DIVIDENDOS</t>
  </si>
  <si>
    <t>4.AMORTIZACIÓN DE DEUDA</t>
  </si>
  <si>
    <t xml:space="preserve">    4.2.Deuda con el Ayuntamiento, OOAA y Empr..Municipales</t>
  </si>
  <si>
    <t>5.APLICACION PROVISION (PAGOS)</t>
  </si>
  <si>
    <t xml:space="preserve">   1.2.Amortización del inmovilizado</t>
  </si>
  <si>
    <t xml:space="preserve">   1.3.Correcciones valorativas por deterioro</t>
  </si>
  <si>
    <t xml:space="preserve">   1.4. Variación de provisiones</t>
  </si>
  <si>
    <t xml:space="preserve">   1.5.Imputación de subvenciones</t>
  </si>
  <si>
    <t xml:space="preserve">   1.6.Resultados por bajas y enajenaciones del inmovilizado</t>
  </si>
  <si>
    <t xml:space="preserve">   1.7.Resultados por bajas y enajenaciones de instrumentos financieros</t>
  </si>
  <si>
    <t xml:space="preserve">   1.8.Diferencias de cambio</t>
  </si>
  <si>
    <t xml:space="preserve">   1.9.Variación de valor razonable en instrumentos financieros</t>
  </si>
  <si>
    <t xml:space="preserve">    4.2.Deuda con el Ayuntamiento, OOAA y Empr.Municipales</t>
  </si>
  <si>
    <t xml:space="preserve">    5.1.Inmovilizado intangible</t>
  </si>
  <si>
    <t xml:space="preserve">    5.3. Inversiones inmobiliarias</t>
  </si>
  <si>
    <t xml:space="preserve">    5.4. Inversiones financieras</t>
  </si>
  <si>
    <t>EXCESO DE ORÍGENES</t>
  </si>
  <si>
    <t>EXCESO DE APLICACIONES</t>
  </si>
  <si>
    <t>5.ENAJENACIÓN DE INMOVILIZADO</t>
  </si>
  <si>
    <t xml:space="preserve">    4.3.Otras deudas</t>
  </si>
  <si>
    <t xml:space="preserve">            2. Deudas con el Ayuntamiento, OOAA y Empr. Municipales</t>
  </si>
  <si>
    <t xml:space="preserve">    4.3.Otras deudas a l.pl.</t>
  </si>
  <si>
    <t xml:space="preserve">    5.5. Activos no corrientes matenidos para venta (no financieros)</t>
  </si>
  <si>
    <t xml:space="preserve">    5.6. Activos no corrientes matenidos para venta (financieros)</t>
  </si>
  <si>
    <t xml:space="preserve">      6.a) Sueldos, salarios y asimilados</t>
  </si>
  <si>
    <t xml:space="preserve">      6.b) Cargas sociales</t>
  </si>
  <si>
    <t xml:space="preserve">       13. Ingresos financieros</t>
  </si>
  <si>
    <t xml:space="preserve">       5.1) Inmovilizado intangible</t>
  </si>
  <si>
    <t xml:space="preserve">       5.2) Inmovilizado material</t>
  </si>
  <si>
    <t xml:space="preserve">       5.3) Inversiones inmobiliarias</t>
  </si>
  <si>
    <t xml:space="preserve">       5.5) Activos no corrientes mantenidos para venta (no financieros)</t>
  </si>
  <si>
    <t xml:space="preserve">       3) Subvenciones de capital</t>
  </si>
  <si>
    <t xml:space="preserve">       5.4) Inversiones financieras</t>
  </si>
  <si>
    <t xml:space="preserve">       5.6) Activos no corrientes mantenidos para venta (financieros)</t>
  </si>
  <si>
    <t xml:space="preserve">       2) Aportaciones de capital</t>
  </si>
  <si>
    <t xml:space="preserve">       4) Financiación ajena a largo plazo</t>
  </si>
  <si>
    <t xml:space="preserve">       1.1) Inmovilizado intangible</t>
  </si>
  <si>
    <t xml:space="preserve">       1.2) Inmovilizado material</t>
  </si>
  <si>
    <t xml:space="preserve">       1.3) Inversiones inmobiliarias</t>
  </si>
  <si>
    <t xml:space="preserve">       1.4) Inversiones financieras</t>
  </si>
  <si>
    <t xml:space="preserve">       2) Reducción de capital</t>
  </si>
  <si>
    <t xml:space="preserve">       4) Amortización de deuda</t>
  </si>
  <si>
    <t xml:space="preserve">        3) Dividendos</t>
  </si>
  <si>
    <t>PRESUPUESTO DE EXPLOTACIÓN. CUENTA DE PÉRDIDAS Y GANANCIAS</t>
  </si>
  <si>
    <t xml:space="preserve">       e) Otros pagos o cobros</t>
  </si>
  <si>
    <t xml:space="preserve">   1.10.Variación de existencias</t>
  </si>
  <si>
    <t>PAGOS POR IMPUESTO BENEFICIOS REALIZADOS DURANTE EL EJERCICIO</t>
  </si>
  <si>
    <t>LIQUIDACIÓN IMPUESTO BENEFICIOS EJERCICIO ANTERIOR</t>
  </si>
  <si>
    <t xml:space="preserve">   1.11.Ajuste por impuesto sobre beneficios</t>
  </si>
  <si>
    <t xml:space="preserve">   1.12.Otros ingresos y gastos</t>
  </si>
  <si>
    <t>EXCESO DE APLICACIONES (Déficit)</t>
  </si>
  <si>
    <t>EXCESO DE ORÍGENES (Superávit)</t>
  </si>
  <si>
    <t xml:space="preserve">     5.1 Aplicaciones (pagos) provisiones de personal</t>
  </si>
  <si>
    <t xml:space="preserve">     5.2 Aplicaciones (pagos) resto de provisiones</t>
  </si>
  <si>
    <t xml:space="preserve">             c) Incorporación al activo de gastos financieros</t>
  </si>
  <si>
    <t>PAGOS A CUENTA DEL EJERCICIO</t>
  </si>
  <si>
    <t>NOTA: las retenciones y los pagos a cuenta se pondrán con signo positivo. En la liquidación se pondrá signo positivo si salió a pagar y negativo si fue a devolver.</t>
  </si>
  <si>
    <t xml:space="preserve">       14.a) Gastos financieros por deudas con el Ayuntamiento, OOAA, Empr.</t>
  </si>
  <si>
    <t xml:space="preserve">       14.b) Gastos financieros por deudas con terceros</t>
  </si>
  <si>
    <t>TOTAL INGRESOS</t>
  </si>
  <si>
    <t>TOTAL GASTOS</t>
  </si>
  <si>
    <t>2. Variación de existencias de productos terminados y en curso</t>
  </si>
  <si>
    <t>15. Variación de valor razonable en instrumentos financieros</t>
  </si>
  <si>
    <t>16. Diferencias de cambio</t>
  </si>
  <si>
    <t>19. Rdo. ejercicio procedente de op. interrumpidas neto de impuestos</t>
  </si>
  <si>
    <t>11.a) Deterioros y perdidas</t>
  </si>
  <si>
    <t>11.b) Resultados por enajenaciones</t>
  </si>
  <si>
    <t>17.a) Deterioros y perdidas</t>
  </si>
  <si>
    <t>17.b) Resultados por enajenaciones</t>
  </si>
  <si>
    <t>RESULTADO</t>
  </si>
  <si>
    <t>RETENCIONES DEL EJERCICIO</t>
  </si>
  <si>
    <t xml:space="preserve">    3.3.Adscripción de bienes</t>
  </si>
  <si>
    <t xml:space="preserve">        2. Ayuntamiento, OOAA y Empr.Munic. proveedores</t>
  </si>
  <si>
    <t xml:space="preserve">      Pago/Cobro por Impuesto sobre beneficios</t>
  </si>
  <si>
    <t>1er Trimestre</t>
  </si>
  <si>
    <t>CUENTA DE RESULTADOS</t>
  </si>
  <si>
    <t>% Ejecución</t>
  </si>
  <si>
    <t>CIFRA DE NEGOCIOS</t>
  </si>
  <si>
    <t>SUBVENCIONES DE EXPLOTACIÓN</t>
  </si>
  <si>
    <t>CASH FLOW</t>
  </si>
  <si>
    <t>BALANCE</t>
  </si>
  <si>
    <t>SALDO DEUDA ENTIDADES DE CTO</t>
  </si>
  <si>
    <t>TOTAL ACTIVO</t>
  </si>
  <si>
    <t>SALDO TESORERÍA</t>
  </si>
  <si>
    <t>FONDO DE MANIOBRA</t>
  </si>
  <si>
    <t>ESTADO DE FLUJO DE EFECTIVO</t>
  </si>
  <si>
    <t>FLUJO DE EFECTIVO DE EXPLOTACIÓN</t>
  </si>
  <si>
    <t>FLUJO DE EFECTIVO DE INVERSIÓN</t>
  </si>
  <si>
    <t>FLUJO DE EFECTIVO DE FINANCIACIÓN</t>
  </si>
  <si>
    <t>VARIACIÓN ACUMULADA</t>
  </si>
  <si>
    <t>INDICADORES ECONÓMICO-FINANCIEROS</t>
  </si>
  <si>
    <t>LIQUIDEZ</t>
  </si>
  <si>
    <t>GARANTIA</t>
  </si>
  <si>
    <t>ENDEUDAMIENTO</t>
  </si>
  <si>
    <t>MARGEN FINANCIERO</t>
  </si>
  <si>
    <t>MARGEN ECONOMICO</t>
  </si>
  <si>
    <t>PREVISIÓN CIERRE</t>
  </si>
  <si>
    <t>PREVISIÓN</t>
  </si>
  <si>
    <t>REAL A</t>
  </si>
  <si>
    <t>PREV.CIERRE</t>
  </si>
  <si>
    <t>Var.exist.PT y curso</t>
  </si>
  <si>
    <t>TRIMESTRE</t>
  </si>
  <si>
    <t>XXX</t>
  </si>
  <si>
    <t>PRESUPUESTO ADMINISTRATIVO</t>
  </si>
  <si>
    <t>SEGÚN BALANCE</t>
  </si>
  <si>
    <t>SEGÚN PYG</t>
  </si>
  <si>
    <t>RESULTADO TOTAL</t>
  </si>
  <si>
    <t>RESULTADO PRESUPUESTARIO
NO FINANCIERO (1 A 7)</t>
  </si>
  <si>
    <t>PRESUPUESTO 2015</t>
  </si>
  <si>
    <t>EJECUCIÓN 2015</t>
  </si>
  <si>
    <t>PRESUPUESTO
2015</t>
  </si>
  <si>
    <t>SOCIEDAD: EMPRESA MUNICIPAL DE LA VIVIENDA Y SUELO DE MADRID S.A.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</si>
  <si>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</si>
  <si>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</si>
  <si>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</si>
  <si>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</si>
  <si>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I. Subvenciones de capital del Ayuntamiento</t>
  </si>
  <si>
    <t>REAL A
30.09.15</t>
  </si>
  <si>
    <t xml:space="preserve">      4. Aprovisionamientos (a+b+c)</t>
  </si>
  <si>
    <t xml:space="preserve">     Diferencia existencias finales e iniciales de Balance</t>
  </si>
  <si>
    <t>CIERRE AJUSTE</t>
  </si>
  <si>
    <t>cierre a septiembre</t>
  </si>
  <si>
    <t>REAL</t>
  </si>
  <si>
    <t>datos presupuesto 2020 en SAP ayto revisar</t>
  </si>
  <si>
    <t xml:space="preserve">     10. Excesos de provisiones plieitos</t>
  </si>
  <si>
    <t/>
  </si>
  <si>
    <t>REAL 31/12/2020</t>
  </si>
  <si>
    <t>REAL 31/12/2020 CON CAMBIOS CUENTAS ANUALES</t>
  </si>
  <si>
    <t>PYG</t>
  </si>
  <si>
    <t>PERSONAL AL SERVICIO DE LA EMPRESA</t>
  </si>
  <si>
    <t>E - P20 - 05</t>
  </si>
  <si>
    <t>PERSONAL (A)</t>
  </si>
  <si>
    <t>Nº TOTAL(B)</t>
  </si>
  <si>
    <t>(1)/(2)</t>
  </si>
  <si>
    <t>(Clasificado por categorías profesionales)</t>
  </si>
  <si>
    <t>PREV. 2019</t>
  </si>
  <si>
    <t>REMUN. INTEGRAS(C)</t>
  </si>
  <si>
    <t>ANTIGÜEDAD</t>
  </si>
  <si>
    <t>HORAS EXT.</t>
  </si>
  <si>
    <t>SEG. SOCIAL</t>
  </si>
  <si>
    <t>TOTAL COSTE(1)</t>
  </si>
  <si>
    <t>ESTIM 2021</t>
  </si>
  <si>
    <t>TOTAL COSTE(2)</t>
  </si>
  <si>
    <t>Grupo 3. Nivel 9. (Conserje)</t>
  </si>
  <si>
    <t>Coste de complementos de pensiones y otras cargas sociales:</t>
  </si>
  <si>
    <t>(A). Personal clasificado por categorias profesionales según Convenio. Además se incluiran las categorias necesarias para reflejar el personal fuera de Convenio.</t>
  </si>
  <si>
    <t>(B). Plantilla media, se calculará ponderando los períodos de contratación de los trabajadores.Se incluye personal alta dirección.</t>
  </si>
  <si>
    <t>(C). Por todos los conceptos, salvo antigüedad, complementos de pensiones, horas extras y Seguridad Social.</t>
  </si>
  <si>
    <t xml:space="preserve">PRESUPUESTO </t>
  </si>
  <si>
    <t>2022-2023</t>
  </si>
  <si>
    <t xml:space="preserve"> - Oficina Verde</t>
  </si>
  <si>
    <t xml:space="preserve"> - Finalizacion expedientes 2013-2016</t>
  </si>
  <si>
    <t xml:space="preserve"> - Plan Madre  2018</t>
  </si>
  <si>
    <t xml:space="preserve"> - Otras encomiendas de gestión</t>
  </si>
  <si>
    <t xml:space="preserve"> - Encargo PLAN REHABILITA</t>
  </si>
  <si>
    <t>COSTE PRESUPUESTO AÑO 2024</t>
  </si>
  <si>
    <t>COSTE ESTIMADO AÑO 2023</t>
  </si>
  <si>
    <t>Consejero Delegado y Gerente</t>
  </si>
  <si>
    <t>Grupo 0. Nivel 1 (Director/a)</t>
  </si>
  <si>
    <t>Grupo 1. Nivel 2 (Jefe/a Departamento)</t>
  </si>
  <si>
    <t>Grupo 1. Nivel 3. (Jefe/a Sección)</t>
  </si>
  <si>
    <t>Grupo 1. Nivel 4. (Técnico/a Superior)</t>
  </si>
  <si>
    <t>Grupo 1. Nivel 5. (Técnico/a Grado Medio)</t>
  </si>
  <si>
    <t>Grupo 2. Nivel 6. (Técnico/a Gestión)</t>
  </si>
  <si>
    <t>Grupo 2. Nivel 7.1. (Técnico/a Administrativo/a)</t>
  </si>
  <si>
    <t>Grupo 2. Nivel 7. (Administrativo/a)</t>
  </si>
  <si>
    <t>Grupo 4. Nivel 10. (Inspector/a)</t>
  </si>
  <si>
    <t>PRESUPUESTO 2021</t>
  </si>
  <si>
    <t xml:space="preserve">CENTRO: </t>
  </si>
  <si>
    <t xml:space="preserve">SECCION: </t>
  </si>
  <si>
    <t>SOCIEDAD: EMPRESA MUNICIPAL DE LA VIVIENDA Y SUELO DE MADRID, S.A.</t>
  </si>
  <si>
    <t>EL TOTAL COSTE PRESUPUESTO NO COINCIDE CON LA SUMA DE SUELDOS Y SALARIOS + CARGAS SOCIALES DE PYG</t>
  </si>
  <si>
    <t>EL TOTAL COSTE ESTIMADO NO COINCIDE CON LA SUMA DE SUELDOS Y SALARIOS + CARGAS SOCIALES DE PYG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</si>
</sst>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d/m/yy"/>
    <numFmt numFmtId="166" formatCode="#,##0.0000"/>
    <numFmt numFmtId="167" formatCode="#,##0.00_ ;[Red]\-#,##0.00\ "/>
    <numFmt numFmtId="168" formatCode="#,##0_ ;[Red]\-#,##0\ "/>
    <numFmt numFmtId="169" formatCode="0.00000"/>
  </numFmts>
  <fonts count="4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4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12"/>
      <name val="Arial"/>
      <family val="2"/>
    </font>
    <font>
      <u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"/>
      <family val="2"/>
    </font>
    <font>
      <sz val="10"/>
      <color indexed="12"/>
      <name val="Arial Narrow"/>
      <family val="2"/>
    </font>
    <font>
      <sz val="10"/>
      <color indexed="10"/>
      <name val="Arial Narrow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sz val="10"/>
      <name val="Verdana"/>
      <family val="2"/>
    </font>
    <font>
      <b/>
      <u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Comic Sans MS"/>
      <family val="4"/>
    </font>
    <font>
      <sz val="10"/>
      <color indexed="17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lightTrellis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4178B4"/>
        <bgColor indexed="64"/>
      </patternFill>
    </fill>
    <fill>
      <patternFill patternType="solid">
        <fgColor rgb="FF006E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8">
    <xf numFmtId="0" fontId="0" fillId="0" borderId="0" applyFill="0"/>
    <xf numFmtId="0" fontId="39" fillId="8" borderId="0">
      <alignment vertical="center"/>
    </xf>
    <xf numFmtId="0" fontId="39" fillId="9" borderId="0">
      <alignment vertical="center"/>
    </xf>
    <xf numFmtId="4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 applyFill="0"/>
    <xf numFmtId="0" fontId="5" fillId="0" borderId="0" applyFill="0"/>
    <xf numFmtId="0" fontId="5" fillId="0" borderId="0"/>
    <xf numFmtId="0" fontId="4" fillId="0" borderId="0">
      <alignment vertical="center"/>
    </xf>
    <xf numFmtId="0" fontId="5" fillId="0" borderId="0"/>
    <xf numFmtId="0" fontId="1" fillId="0" borderId="0"/>
    <xf numFmtId="0" fontId="28" fillId="0" borderId="0"/>
    <xf numFmtId="9" fontId="5" fillId="0" borderId="0" applyFont="0" applyFill="0" applyBorder="0" applyAlignment="0" applyProtection="0"/>
  </cellStyleXfs>
  <cellXfs count="636">
    <xf numFmtId="0" fontId="0" fillId="0" borderId="0" xfId="0"/>
    <xf numFmtId="0" fontId="6" fillId="0" borderId="0" xfId="0" applyFont="1"/>
    <xf numFmtId="3" fontId="1" fillId="0" borderId="0" xfId="15" applyNumberFormat="1"/>
    <xf numFmtId="10" fontId="1" fillId="0" borderId="0" xfId="15" applyNumberFormat="1"/>
    <xf numFmtId="3" fontId="9" fillId="0" borderId="0" xfId="15" applyNumberFormat="1" applyFont="1"/>
    <xf numFmtId="3" fontId="2" fillId="0" borderId="0" xfId="15" applyNumberFormat="1" applyFont="1"/>
    <xf numFmtId="3" fontId="1" fillId="0" borderId="1" xfId="15" applyNumberFormat="1" applyBorder="1"/>
    <xf numFmtId="10" fontId="1" fillId="0" borderId="1" xfId="15" applyNumberFormat="1" applyBorder="1"/>
    <xf numFmtId="3" fontId="4" fillId="0" borderId="2" xfId="15" applyNumberFormat="1" applyFont="1" applyBorder="1" applyAlignment="1">
      <alignment vertical="center" wrapText="1"/>
    </xf>
    <xf numFmtId="3" fontId="4" fillId="0" borderId="3" xfId="15" applyNumberFormat="1" applyFont="1" applyBorder="1" applyAlignment="1">
      <alignment vertical="center" wrapText="1"/>
    </xf>
    <xf numFmtId="3" fontId="4" fillId="0" borderId="4" xfId="15" applyNumberFormat="1" applyFont="1" applyBorder="1" applyAlignment="1">
      <alignment vertical="center" wrapText="1"/>
    </xf>
    <xf numFmtId="3" fontId="4" fillId="0" borderId="2" xfId="15" applyNumberFormat="1" applyFont="1" applyBorder="1" applyAlignment="1">
      <alignment horizontal="left" vertical="center" wrapText="1"/>
    </xf>
    <xf numFmtId="3" fontId="12" fillId="0" borderId="5" xfId="15" applyNumberFormat="1" applyFont="1" applyBorder="1" applyAlignment="1">
      <alignment horizontal="center" vertical="center" wrapText="1"/>
    </xf>
    <xf numFmtId="3" fontId="12" fillId="0" borderId="6" xfId="15" applyNumberFormat="1" applyFont="1" applyBorder="1" applyAlignment="1">
      <alignment horizontal="center" vertical="center" wrapText="1"/>
    </xf>
    <xf numFmtId="3" fontId="12" fillId="0" borderId="7" xfId="15" applyNumberFormat="1" applyFont="1" applyFill="1" applyBorder="1" applyAlignment="1">
      <alignment horizontal="center" vertical="center" wrapText="1"/>
    </xf>
    <xf numFmtId="3" fontId="12" fillId="0" borderId="6" xfId="15" applyNumberFormat="1" applyFont="1" applyFill="1" applyBorder="1" applyAlignment="1">
      <alignment horizontal="center" vertical="center" wrapText="1"/>
    </xf>
    <xf numFmtId="3" fontId="12" fillId="0" borderId="8" xfId="15" applyNumberFormat="1" applyFont="1" applyBorder="1" applyAlignment="1">
      <alignment horizontal="center" vertical="center" wrapText="1"/>
    </xf>
    <xf numFmtId="3" fontId="12" fillId="0" borderId="9" xfId="15" applyNumberFormat="1" applyFont="1" applyBorder="1" applyAlignment="1">
      <alignment horizontal="center" vertical="center" wrapText="1"/>
    </xf>
    <xf numFmtId="3" fontId="12" fillId="0" borderId="0" xfId="15" applyNumberFormat="1" applyFont="1" applyBorder="1" applyAlignment="1">
      <alignment vertical="center"/>
    </xf>
    <xf numFmtId="10" fontId="12" fillId="0" borderId="10" xfId="15" applyNumberFormat="1" applyFont="1" applyBorder="1" applyAlignment="1">
      <alignment vertical="center"/>
    </xf>
    <xf numFmtId="10" fontId="9" fillId="0" borderId="11" xfId="15" applyNumberFormat="1" applyFont="1" applyBorder="1" applyAlignment="1">
      <alignment vertical="center"/>
    </xf>
    <xf numFmtId="10" fontId="18" fillId="0" borderId="12" xfId="15" applyNumberFormat="1" applyFont="1" applyBorder="1" applyAlignment="1">
      <alignment vertical="center"/>
    </xf>
    <xf numFmtId="3" fontId="9" fillId="0" borderId="1" xfId="15" applyNumberFormat="1" applyFont="1" applyBorder="1" applyAlignment="1">
      <alignment vertical="center"/>
    </xf>
    <xf numFmtId="3" fontId="9" fillId="0" borderId="13" xfId="15" applyNumberFormat="1" applyFont="1" applyBorder="1" applyAlignment="1">
      <alignment vertical="center"/>
    </xf>
    <xf numFmtId="3" fontId="11" fillId="0" borderId="14" xfId="15" applyNumberFormat="1" applyFont="1" applyBorder="1" applyAlignment="1">
      <alignment vertical="center"/>
    </xf>
    <xf numFmtId="3" fontId="11" fillId="0" borderId="15" xfId="15" applyNumberFormat="1" applyFont="1" applyBorder="1" applyAlignment="1">
      <alignment vertical="center"/>
    </xf>
    <xf numFmtId="0" fontId="19" fillId="0" borderId="5" xfId="0" applyFont="1" applyBorder="1"/>
    <xf numFmtId="0" fontId="19" fillId="0" borderId="5" xfId="0" applyFont="1" applyFill="1" applyBorder="1" applyAlignment="1">
      <alignment horizontal="left"/>
    </xf>
    <xf numFmtId="3" fontId="12" fillId="0" borderId="16" xfId="15" applyNumberFormat="1" applyFont="1" applyBorder="1" applyAlignment="1">
      <alignment horizontal="center" vertical="center" wrapText="1"/>
    </xf>
    <xf numFmtId="0" fontId="19" fillId="0" borderId="16" xfId="0" applyFont="1" applyBorder="1"/>
    <xf numFmtId="3" fontId="19" fillId="0" borderId="0" xfId="0" applyNumberFormat="1" applyFont="1" applyFill="1" applyBorder="1"/>
    <xf numFmtId="3" fontId="19" fillId="0" borderId="16" xfId="0" applyNumberFormat="1" applyFont="1" applyFill="1" applyBorder="1"/>
    <xf numFmtId="3" fontId="12" fillId="0" borderId="5" xfId="15" applyNumberFormat="1" applyFont="1" applyFill="1" applyBorder="1" applyAlignment="1">
      <alignment horizontal="center" vertical="center" wrapText="1"/>
    </xf>
    <xf numFmtId="0" fontId="20" fillId="0" borderId="5" xfId="0" applyFont="1" applyBorder="1"/>
    <xf numFmtId="0" fontId="20" fillId="0" borderId="5" xfId="0" applyFont="1" applyFill="1" applyBorder="1"/>
    <xf numFmtId="3" fontId="12" fillId="0" borderId="9" xfId="15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0" fillId="0" borderId="0" xfId="0" applyFont="1" applyBorder="1"/>
    <xf numFmtId="3" fontId="12" fillId="0" borderId="0" xfId="15" applyNumberFormat="1" applyFont="1" applyBorder="1" applyAlignment="1">
      <alignment vertical="center" wrapText="1"/>
    </xf>
    <xf numFmtId="3" fontId="21" fillId="0" borderId="0" xfId="0" applyNumberFormat="1" applyFont="1" applyFill="1" applyBorder="1"/>
    <xf numFmtId="3" fontId="21" fillId="2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0" xfId="0" applyNumberFormat="1" applyFont="1" applyBorder="1"/>
    <xf numFmtId="3" fontId="12" fillId="0" borderId="0" xfId="15" applyNumberFormat="1" applyFont="1" applyBorder="1" applyAlignment="1">
      <alignment horizontal="left" vertical="center" wrapText="1"/>
    </xf>
    <xf numFmtId="3" fontId="21" fillId="0" borderId="0" xfId="0" applyNumberFormat="1" applyFont="1" applyBorder="1"/>
    <xf numFmtId="3" fontId="21" fillId="0" borderId="0" xfId="15" applyNumberFormat="1" applyFont="1" applyBorder="1" applyAlignment="1">
      <alignment vertical="center" wrapText="1"/>
    </xf>
    <xf numFmtId="3" fontId="21" fillId="0" borderId="0" xfId="0" applyNumberFormat="1" applyFont="1" applyFill="1" applyBorder="1" applyAlignment="1"/>
    <xf numFmtId="3" fontId="22" fillId="0" borderId="0" xfId="15" applyNumberFormat="1" applyFont="1" applyBorder="1" applyAlignment="1">
      <alignment vertical="center" wrapText="1"/>
    </xf>
    <xf numFmtId="3" fontId="1" fillId="0" borderId="0" xfId="15" applyNumberFormat="1" applyBorder="1"/>
    <xf numFmtId="3" fontId="6" fillId="0" borderId="0" xfId="15" applyNumberFormat="1" applyFont="1" applyBorder="1" applyAlignment="1">
      <alignment horizontal="center" vertical="center" wrapText="1"/>
    </xf>
    <xf numFmtId="3" fontId="9" fillId="0" borderId="0" xfId="15" applyNumberFormat="1" applyFont="1" applyBorder="1" applyAlignment="1">
      <alignment horizontal="center" vertical="center" wrapText="1"/>
    </xf>
    <xf numFmtId="3" fontId="9" fillId="0" borderId="0" xfId="15" applyNumberFormat="1" applyFont="1" applyBorder="1" applyAlignment="1">
      <alignment vertical="center"/>
    </xf>
    <xf numFmtId="10" fontId="18" fillId="0" borderId="0" xfId="15" applyNumberFormat="1" applyFont="1" applyBorder="1" applyAlignment="1">
      <alignment vertical="center"/>
    </xf>
    <xf numFmtId="3" fontId="2" fillId="0" borderId="0" xfId="15" applyNumberFormat="1" applyFont="1" applyBorder="1"/>
    <xf numFmtId="14" fontId="6" fillId="3" borderId="17" xfId="0" applyNumberFormat="1" applyFont="1" applyFill="1" applyBorder="1" applyAlignment="1" applyProtection="1">
      <alignment horizontal="center" vertical="center"/>
    </xf>
    <xf numFmtId="14" fontId="6" fillId="3" borderId="18" xfId="0" applyNumberFormat="1" applyFont="1" applyFill="1" applyBorder="1" applyAlignment="1" applyProtection="1">
      <alignment horizontal="center" vertical="center"/>
    </xf>
    <xf numFmtId="165" fontId="9" fillId="3" borderId="19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3" fontId="10" fillId="0" borderId="21" xfId="0" applyNumberFormat="1" applyFont="1" applyFill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3" fontId="10" fillId="0" borderId="2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3" fontId="10" fillId="0" borderId="26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vertical="center"/>
    </xf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vertical="center"/>
    </xf>
    <xf numFmtId="3" fontId="10" fillId="0" borderId="27" xfId="0" applyNumberFormat="1" applyFont="1" applyFill="1" applyBorder="1" applyAlignment="1" applyProtection="1">
      <alignment vertical="center"/>
    </xf>
    <xf numFmtId="0" fontId="16" fillId="0" borderId="28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8" fillId="0" borderId="29" xfId="0" applyFont="1" applyFill="1" applyBorder="1" applyAlignment="1" applyProtection="1">
      <alignment vertical="center"/>
    </xf>
    <xf numFmtId="0" fontId="17" fillId="0" borderId="16" xfId="0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</xf>
    <xf numFmtId="0" fontId="13" fillId="0" borderId="28" xfId="0" applyFont="1" applyBorder="1" applyAlignment="1" applyProtection="1">
      <alignment vertical="center" wrapText="1"/>
    </xf>
    <xf numFmtId="0" fontId="6" fillId="0" borderId="28" xfId="0" applyFont="1" applyBorder="1" applyAlignment="1" applyProtection="1">
      <alignment vertical="center"/>
    </xf>
    <xf numFmtId="0" fontId="17" fillId="0" borderId="30" xfId="0" applyFont="1" applyBorder="1" applyAlignment="1" applyProtection="1">
      <alignment vertical="center"/>
    </xf>
    <xf numFmtId="3" fontId="10" fillId="0" borderId="31" xfId="0" applyNumberFormat="1" applyFont="1" applyFill="1" applyBorder="1" applyAlignment="1" applyProtection="1">
      <alignment vertical="center"/>
    </xf>
    <xf numFmtId="0" fontId="23" fillId="5" borderId="27" xfId="0" applyFont="1" applyFill="1" applyBorder="1"/>
    <xf numFmtId="0" fontId="20" fillId="0" borderId="16" xfId="0" applyFont="1" applyFill="1" applyBorder="1"/>
    <xf numFmtId="0" fontId="20" fillId="0" borderId="27" xfId="0" applyFont="1" applyBorder="1"/>
    <xf numFmtId="3" fontId="23" fillId="5" borderId="0" xfId="0" applyNumberFormat="1" applyFont="1" applyFill="1" applyBorder="1"/>
    <xf numFmtId="0" fontId="0" fillId="0" borderId="0" xfId="0" applyProtection="1"/>
    <xf numFmtId="0" fontId="6" fillId="0" borderId="0" xfId="0" applyFont="1" applyBorder="1" applyProtection="1"/>
    <xf numFmtId="0" fontId="6" fillId="0" borderId="0" xfId="0" applyFont="1" applyProtection="1"/>
    <xf numFmtId="0" fontId="0" fillId="0" borderId="0" xfId="0" applyBorder="1" applyProtection="1"/>
    <xf numFmtId="0" fontId="6" fillId="3" borderId="18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4" fillId="0" borderId="5" xfId="0" applyFont="1" applyBorder="1" applyProtection="1"/>
    <xf numFmtId="3" fontId="0" fillId="0" borderId="0" xfId="0" applyNumberFormat="1" applyProtection="1"/>
    <xf numFmtId="0" fontId="4" fillId="0" borderId="5" xfId="0" applyFont="1" applyFill="1" applyBorder="1" applyProtection="1"/>
    <xf numFmtId="0" fontId="4" fillId="0" borderId="16" xfId="0" applyFont="1" applyBorder="1" applyProtection="1"/>
    <xf numFmtId="0" fontId="4" fillId="0" borderId="16" xfId="0" applyFont="1" applyFill="1" applyBorder="1" applyProtection="1"/>
    <xf numFmtId="0" fontId="6" fillId="0" borderId="16" xfId="0" applyFont="1" applyFill="1" applyBorder="1" applyProtection="1"/>
    <xf numFmtId="0" fontId="6" fillId="0" borderId="5" xfId="0" applyFont="1" applyFill="1" applyBorder="1" applyProtection="1"/>
    <xf numFmtId="0" fontId="8" fillId="0" borderId="32" xfId="0" applyFont="1" applyFill="1" applyBorder="1" applyProtection="1"/>
    <xf numFmtId="0" fontId="3" fillId="0" borderId="16" xfId="0" applyFont="1" applyFill="1" applyBorder="1" applyProtection="1"/>
    <xf numFmtId="0" fontId="6" fillId="0" borderId="33" xfId="0" applyFont="1" applyFill="1" applyBorder="1" applyProtection="1"/>
    <xf numFmtId="3" fontId="16" fillId="0" borderId="2" xfId="0" applyNumberFormat="1" applyFont="1" applyFill="1" applyBorder="1" applyAlignment="1" applyProtection="1">
      <alignment horizontal="center"/>
    </xf>
    <xf numFmtId="0" fontId="19" fillId="0" borderId="27" xfId="0" applyFont="1" applyBorder="1"/>
    <xf numFmtId="0" fontId="19" fillId="0" borderId="5" xfId="0" applyFont="1" applyFill="1" applyBorder="1"/>
    <xf numFmtId="3" fontId="10" fillId="0" borderId="0" xfId="0" applyNumberFormat="1" applyFont="1" applyBorder="1" applyAlignment="1" applyProtection="1">
      <alignment vertical="center"/>
    </xf>
    <xf numFmtId="3" fontId="10" fillId="0" borderId="34" xfId="0" applyNumberFormat="1" applyFon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horizontal="left" vertical="center" wrapText="1"/>
    </xf>
    <xf numFmtId="3" fontId="10" fillId="0" borderId="0" xfId="0" applyNumberFormat="1" applyFont="1" applyAlignment="1" applyProtection="1">
      <alignment vertical="center"/>
    </xf>
    <xf numFmtId="3" fontId="11" fillId="0" borderId="0" xfId="0" applyNumberFormat="1" applyFont="1" applyBorder="1" applyAlignment="1" applyProtection="1">
      <alignment vertical="center"/>
    </xf>
    <xf numFmtId="3" fontId="11" fillId="0" borderId="0" xfId="0" applyNumberFormat="1" applyFont="1" applyBorder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center" vertical="center"/>
    </xf>
    <xf numFmtId="3" fontId="10" fillId="0" borderId="35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3" fontId="16" fillId="0" borderId="36" xfId="0" applyNumberFormat="1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vertical="center"/>
    </xf>
    <xf numFmtId="0" fontId="0" fillId="0" borderId="37" xfId="0" applyFill="1" applyBorder="1" applyAlignment="1" applyProtection="1">
      <alignment vertical="center"/>
    </xf>
    <xf numFmtId="3" fontId="25" fillId="0" borderId="0" xfId="0" applyNumberFormat="1" applyFont="1" applyAlignment="1" applyProtection="1">
      <alignment vertical="center"/>
    </xf>
    <xf numFmtId="3" fontId="25" fillId="0" borderId="0" xfId="0" applyNumberFormat="1" applyFont="1" applyAlignment="1" applyProtection="1">
      <alignment vertical="center"/>
      <protection locked="0"/>
    </xf>
    <xf numFmtId="3" fontId="25" fillId="5" borderId="0" xfId="0" applyNumberFormat="1" applyFont="1" applyFill="1" applyAlignment="1" applyProtection="1">
      <alignment vertical="center"/>
      <protection locked="0"/>
    </xf>
    <xf numFmtId="3" fontId="25" fillId="5" borderId="0" xfId="0" applyNumberFormat="1" applyFont="1" applyFill="1" applyAlignment="1" applyProtection="1">
      <alignment vertical="center"/>
    </xf>
    <xf numFmtId="3" fontId="25" fillId="0" borderId="0" xfId="0" applyNumberFormat="1" applyFont="1" applyBorder="1" applyAlignment="1" applyProtection="1">
      <alignment vertical="center"/>
    </xf>
    <xf numFmtId="3" fontId="27" fillId="5" borderId="0" xfId="0" applyNumberFormat="1" applyFont="1" applyFill="1" applyBorder="1" applyAlignment="1" applyProtection="1">
      <alignment vertical="center"/>
    </xf>
    <xf numFmtId="3" fontId="25" fillId="5" borderId="0" xfId="0" applyNumberFormat="1" applyFont="1" applyFill="1" applyBorder="1" applyAlignment="1" applyProtection="1">
      <alignment vertical="center"/>
    </xf>
    <xf numFmtId="0" fontId="29" fillId="0" borderId="0" xfId="16" applyFont="1" applyAlignment="1">
      <alignment horizontal="center" vertical="center"/>
    </xf>
    <xf numFmtId="0" fontId="28" fillId="0" borderId="0" xfId="16"/>
    <xf numFmtId="0" fontId="29" fillId="0" borderId="0" xfId="16" applyFont="1" applyBorder="1" applyAlignment="1">
      <alignment horizontal="left" vertical="center"/>
    </xf>
    <xf numFmtId="0" fontId="29" fillId="0" borderId="0" xfId="16" applyFont="1" applyBorder="1" applyAlignment="1">
      <alignment horizontal="center" vertical="center"/>
    </xf>
    <xf numFmtId="0" fontId="29" fillId="0" borderId="0" xfId="16" applyFont="1" applyBorder="1" applyAlignment="1">
      <alignment horizontal="right" vertical="center"/>
    </xf>
    <xf numFmtId="0" fontId="30" fillId="3" borderId="38" xfId="16" applyFont="1" applyFill="1" applyBorder="1" applyAlignment="1">
      <alignment vertical="center"/>
    </xf>
    <xf numFmtId="3" fontId="30" fillId="7" borderId="39" xfId="16" applyNumberFormat="1" applyFont="1" applyFill="1" applyBorder="1" applyAlignment="1">
      <alignment vertical="center"/>
    </xf>
    <xf numFmtId="0" fontId="30" fillId="0" borderId="40" xfId="16" applyFont="1" applyFill="1" applyBorder="1" applyAlignment="1">
      <alignment vertical="center"/>
    </xf>
    <xf numFmtId="3" fontId="30" fillId="0" borderId="41" xfId="16" applyNumberFormat="1" applyFont="1" applyFill="1" applyBorder="1" applyAlignment="1">
      <alignment vertical="center"/>
    </xf>
    <xf numFmtId="3" fontId="30" fillId="0" borderId="0" xfId="16" applyNumberFormat="1" applyFont="1" applyFill="1" applyBorder="1" applyAlignment="1">
      <alignment vertical="center"/>
    </xf>
    <xf numFmtId="0" fontId="30" fillId="0" borderId="38" xfId="16" applyFont="1" applyFill="1" applyBorder="1" applyAlignment="1">
      <alignment vertical="center"/>
    </xf>
    <xf numFmtId="3" fontId="30" fillId="0" borderId="42" xfId="16" applyNumberFormat="1" applyFont="1" applyFill="1" applyBorder="1" applyAlignment="1">
      <alignment vertical="center"/>
    </xf>
    <xf numFmtId="0" fontId="30" fillId="0" borderId="0" xfId="16" applyFont="1" applyBorder="1" applyAlignment="1">
      <alignment vertical="center"/>
    </xf>
    <xf numFmtId="3" fontId="30" fillId="0" borderId="0" xfId="16" applyNumberFormat="1" applyFont="1" applyBorder="1" applyAlignment="1">
      <alignment vertical="center"/>
    </xf>
    <xf numFmtId="164" fontId="30" fillId="0" borderId="0" xfId="16" applyNumberFormat="1" applyFont="1" applyBorder="1" applyAlignment="1">
      <alignment vertical="center"/>
    </xf>
    <xf numFmtId="0" fontId="30" fillId="0" borderId="0" xfId="16" applyFont="1" applyAlignment="1">
      <alignment vertical="center"/>
    </xf>
    <xf numFmtId="3" fontId="30" fillId="0" borderId="43" xfId="16" applyNumberFormat="1" applyFont="1" applyFill="1" applyBorder="1" applyAlignment="1">
      <alignment vertical="center"/>
    </xf>
    <xf numFmtId="3" fontId="30" fillId="0" borderId="44" xfId="1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33" fillId="0" borderId="14" xfId="0" applyNumberFormat="1" applyFont="1" applyBorder="1" applyAlignment="1">
      <alignment horizontal="right" vertical="center"/>
    </xf>
    <xf numFmtId="2" fontId="33" fillId="0" borderId="15" xfId="0" applyNumberFormat="1" applyFont="1" applyBorder="1" applyAlignment="1">
      <alignment horizontal="right" vertical="center"/>
    </xf>
    <xf numFmtId="2" fontId="33" fillId="0" borderId="45" xfId="0" applyNumberFormat="1" applyFont="1" applyBorder="1" applyAlignment="1">
      <alignment horizontal="right" vertical="center"/>
    </xf>
    <xf numFmtId="3" fontId="33" fillId="0" borderId="15" xfId="0" applyNumberFormat="1" applyFont="1" applyBorder="1" applyAlignment="1">
      <alignment horizontal="right" vertical="center"/>
    </xf>
    <xf numFmtId="164" fontId="33" fillId="0" borderId="15" xfId="0" applyNumberFormat="1" applyFont="1" applyBorder="1" applyAlignment="1">
      <alignment horizontal="right" vertical="center"/>
    </xf>
    <xf numFmtId="164" fontId="33" fillId="0" borderId="45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46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0" borderId="16" xfId="0" applyNumberFormat="1" applyFont="1" applyFill="1" applyBorder="1" applyAlignment="1" applyProtection="1">
      <alignment vertical="center"/>
    </xf>
    <xf numFmtId="3" fontId="16" fillId="0" borderId="16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16" fillId="0" borderId="5" xfId="0" applyNumberFormat="1" applyFont="1" applyFill="1" applyBorder="1" applyAlignment="1" applyProtection="1">
      <alignment vertical="center"/>
    </xf>
    <xf numFmtId="3" fontId="3" fillId="0" borderId="16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7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5" borderId="47" xfId="15" applyNumberFormat="1" applyFont="1" applyFill="1" applyBorder="1" applyAlignment="1">
      <alignment horizontal="center" vertical="center" wrapText="1"/>
    </xf>
    <xf numFmtId="3" fontId="12" fillId="0" borderId="0" xfId="15" applyNumberFormat="1" applyFont="1" applyBorder="1" applyAlignment="1">
      <alignment horizontal="right" vertical="center" wrapText="1"/>
    </xf>
    <xf numFmtId="14" fontId="9" fillId="3" borderId="19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Border="1" applyAlignment="1" applyProtection="1">
      <alignment horizontal="center" vertical="center"/>
    </xf>
    <xf numFmtId="0" fontId="34" fillId="5" borderId="0" xfId="16" applyFont="1" applyFill="1" applyAlignment="1">
      <alignment horizontal="right"/>
    </xf>
    <xf numFmtId="164" fontId="2" fillId="0" borderId="0" xfId="0" applyNumberFormat="1" applyFont="1" applyFill="1" applyBorder="1" applyAlignment="1" applyProtection="1">
      <alignment vertical="center"/>
    </xf>
    <xf numFmtId="0" fontId="30" fillId="3" borderId="48" xfId="16" applyFont="1" applyFill="1" applyBorder="1" applyAlignment="1">
      <alignment vertical="center"/>
    </xf>
    <xf numFmtId="3" fontId="30" fillId="7" borderId="49" xfId="16" applyNumberFormat="1" applyFont="1" applyFill="1" applyBorder="1" applyAlignment="1">
      <alignment vertical="center"/>
    </xf>
    <xf numFmtId="3" fontId="30" fillId="0" borderId="50" xfId="16" applyNumberFormat="1" applyFont="1" applyFill="1" applyBorder="1" applyAlignment="1">
      <alignment vertical="center"/>
    </xf>
    <xf numFmtId="3" fontId="30" fillId="0" borderId="51" xfId="16" applyNumberFormat="1" applyFont="1" applyFill="1" applyBorder="1" applyAlignment="1">
      <alignment vertical="center"/>
    </xf>
    <xf numFmtId="0" fontId="28" fillId="0" borderId="0" xfId="16" applyFill="1" applyBorder="1" applyAlignment="1">
      <alignment vertical="center"/>
    </xf>
    <xf numFmtId="0" fontId="30" fillId="3" borderId="52" xfId="16" applyFont="1" applyFill="1" applyBorder="1" applyAlignment="1">
      <alignment vertical="center"/>
    </xf>
    <xf numFmtId="14" fontId="30" fillId="3" borderId="53" xfId="16" applyNumberFormat="1" applyFont="1" applyFill="1" applyBorder="1" applyAlignment="1">
      <alignment horizontal="center" vertical="center"/>
    </xf>
    <xf numFmtId="3" fontId="30" fillId="7" borderId="54" xfId="16" applyNumberFormat="1" applyFont="1" applyFill="1" applyBorder="1" applyAlignment="1">
      <alignment vertical="center"/>
    </xf>
    <xf numFmtId="3" fontId="30" fillId="0" borderId="55" xfId="16" applyNumberFormat="1" applyFont="1" applyFill="1" applyBorder="1" applyAlignment="1">
      <alignment vertical="center"/>
    </xf>
    <xf numFmtId="3" fontId="30" fillId="0" borderId="40" xfId="16" applyNumberFormat="1" applyFont="1" applyFill="1" applyBorder="1" applyAlignment="1">
      <alignment vertical="center"/>
    </xf>
    <xf numFmtId="3" fontId="30" fillId="0" borderId="38" xfId="16" applyNumberFormat="1" applyFont="1" applyFill="1" applyBorder="1" applyAlignment="1">
      <alignment vertical="center"/>
    </xf>
    <xf numFmtId="3" fontId="30" fillId="0" borderId="56" xfId="16" applyNumberFormat="1" applyFont="1" applyFill="1" applyBorder="1" applyAlignment="1">
      <alignment vertical="center"/>
    </xf>
    <xf numFmtId="3" fontId="30" fillId="0" borderId="57" xfId="16" applyNumberFormat="1" applyFont="1" applyFill="1" applyBorder="1" applyAlignment="1">
      <alignment vertical="center"/>
    </xf>
    <xf numFmtId="0" fontId="30" fillId="0" borderId="0" xfId="16" applyFont="1" applyFill="1" applyBorder="1" applyAlignment="1">
      <alignment vertical="center"/>
    </xf>
    <xf numFmtId="0" fontId="30" fillId="0" borderId="58" xfId="16" applyFont="1" applyFill="1" applyBorder="1" applyAlignment="1">
      <alignment vertical="center"/>
    </xf>
    <xf numFmtId="0" fontId="30" fillId="0" borderId="59" xfId="16" applyFont="1" applyFill="1" applyBorder="1" applyAlignment="1">
      <alignment vertical="center"/>
    </xf>
    <xf numFmtId="14" fontId="30" fillId="3" borderId="52" xfId="16" applyNumberFormat="1" applyFont="1" applyFill="1" applyBorder="1" applyAlignment="1">
      <alignment horizontal="center" vertical="center"/>
    </xf>
    <xf numFmtId="3" fontId="30" fillId="0" borderId="59" xfId="16" applyNumberFormat="1" applyFont="1" applyFill="1" applyBorder="1" applyAlignment="1">
      <alignment vertical="center"/>
    </xf>
    <xf numFmtId="14" fontId="30" fillId="3" borderId="60" xfId="16" applyNumberFormat="1" applyFont="1" applyFill="1" applyBorder="1" applyAlignment="1">
      <alignment horizontal="center" vertical="center"/>
    </xf>
    <xf numFmtId="14" fontId="30" fillId="3" borderId="44" xfId="16" applyNumberFormat="1" applyFont="1" applyFill="1" applyBorder="1" applyAlignment="1">
      <alignment horizontal="center" vertical="center"/>
    </xf>
    <xf numFmtId="164" fontId="30" fillId="7" borderId="61" xfId="16" applyNumberFormat="1" applyFont="1" applyFill="1" applyBorder="1" applyAlignment="1">
      <alignment vertical="center"/>
    </xf>
    <xf numFmtId="164" fontId="30" fillId="0" borderId="43" xfId="16" applyNumberFormat="1" applyFont="1" applyFill="1" applyBorder="1" applyAlignment="1">
      <alignment vertical="center"/>
    </xf>
    <xf numFmtId="164" fontId="30" fillId="0" borderId="62" xfId="16" applyNumberFormat="1" applyFont="1" applyFill="1" applyBorder="1" applyAlignment="1">
      <alignment vertical="center"/>
    </xf>
    <xf numFmtId="0" fontId="30" fillId="3" borderId="52" xfId="16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14" fontId="11" fillId="0" borderId="34" xfId="0" applyNumberFormat="1" applyFont="1" applyBorder="1" applyAlignment="1" applyProtection="1">
      <alignment horizontal="center" vertical="center"/>
    </xf>
    <xf numFmtId="0" fontId="30" fillId="7" borderId="54" xfId="16" applyFont="1" applyFill="1" applyBorder="1" applyAlignment="1">
      <alignment vertical="center"/>
    </xf>
    <xf numFmtId="0" fontId="30" fillId="3" borderId="63" xfId="16" applyFont="1" applyFill="1" applyBorder="1" applyAlignment="1">
      <alignment horizontal="center" vertical="center"/>
    </xf>
    <xf numFmtId="49" fontId="9" fillId="3" borderId="64" xfId="15" applyNumberFormat="1" applyFont="1" applyFill="1" applyBorder="1" applyAlignment="1">
      <alignment horizontal="center" vertical="center" wrapText="1"/>
    </xf>
    <xf numFmtId="10" fontId="9" fillId="3" borderId="65" xfId="15" applyNumberFormat="1" applyFont="1" applyFill="1" applyBorder="1" applyAlignment="1">
      <alignment horizontal="center" vertical="center" wrapText="1"/>
    </xf>
    <xf numFmtId="0" fontId="9" fillId="3" borderId="47" xfId="15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vertical="center"/>
    </xf>
    <xf numFmtId="14" fontId="10" fillId="0" borderId="20" xfId="0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14" fontId="10" fillId="0" borderId="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right" vertical="center"/>
    </xf>
    <xf numFmtId="3" fontId="10" fillId="0" borderId="10" xfId="0" applyNumberFormat="1" applyFont="1" applyBorder="1" applyAlignment="1" applyProtection="1">
      <alignment vertical="center"/>
    </xf>
    <xf numFmtId="3" fontId="11" fillId="0" borderId="10" xfId="0" applyNumberFormat="1" applyFont="1" applyBorder="1" applyAlignment="1" applyProtection="1">
      <alignment vertical="center"/>
    </xf>
    <xf numFmtId="0" fontId="11" fillId="0" borderId="16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64" fontId="2" fillId="0" borderId="10" xfId="0" applyNumberFormat="1" applyFont="1" applyFill="1" applyBorder="1" applyAlignment="1" applyProtection="1">
      <alignment vertical="center"/>
    </xf>
    <xf numFmtId="0" fontId="0" fillId="0" borderId="8" xfId="0" applyBorder="1" applyAlignment="1">
      <alignment horizontal="right"/>
    </xf>
    <xf numFmtId="3" fontId="10" fillId="0" borderId="67" xfId="0" applyNumberFormat="1" applyFont="1" applyBorder="1" applyAlignment="1" applyProtection="1">
      <alignment vertical="center"/>
    </xf>
    <xf numFmtId="0" fontId="17" fillId="0" borderId="16" xfId="0" applyFont="1" applyBorder="1" applyAlignment="1" applyProtection="1">
      <alignment horizontal="left" vertical="center"/>
    </xf>
    <xf numFmtId="3" fontId="0" fillId="0" borderId="9" xfId="0" applyNumberFormat="1" applyBorder="1" applyAlignment="1">
      <alignment horizontal="right"/>
    </xf>
    <xf numFmtId="3" fontId="10" fillId="0" borderId="68" xfId="0" applyNumberFormat="1" applyFont="1" applyBorder="1" applyAlignment="1" applyProtection="1">
      <alignment vertical="center"/>
    </xf>
    <xf numFmtId="3" fontId="0" fillId="0" borderId="30" xfId="0" applyNumberFormat="1" applyBorder="1" applyAlignment="1">
      <alignment horizontal="right"/>
    </xf>
    <xf numFmtId="3" fontId="10" fillId="0" borderId="1" xfId="0" applyNumberFormat="1" applyFont="1" applyBorder="1" applyAlignment="1" applyProtection="1">
      <alignment vertical="center"/>
    </xf>
    <xf numFmtId="3" fontId="10" fillId="0" borderId="12" xfId="0" applyNumberFormat="1" applyFont="1" applyBorder="1" applyAlignment="1" applyProtection="1">
      <alignment vertical="center"/>
    </xf>
    <xf numFmtId="3" fontId="10" fillId="5" borderId="35" xfId="0" applyNumberFormat="1" applyFont="1" applyFill="1" applyBorder="1" applyAlignment="1" applyProtection="1">
      <alignment vertical="center"/>
    </xf>
    <xf numFmtId="3" fontId="10" fillId="5" borderId="69" xfId="0" applyNumberFormat="1" applyFont="1" applyFill="1" applyBorder="1" applyAlignment="1" applyProtection="1">
      <alignment vertical="center"/>
    </xf>
    <xf numFmtId="3" fontId="10" fillId="5" borderId="0" xfId="0" applyNumberFormat="1" applyFont="1" applyFill="1" applyBorder="1" applyAlignment="1" applyProtection="1">
      <alignment vertical="center"/>
    </xf>
    <xf numFmtId="3" fontId="10" fillId="5" borderId="27" xfId="0" applyNumberFormat="1" applyFont="1" applyFill="1" applyBorder="1" applyAlignment="1" applyProtection="1">
      <alignment vertical="center"/>
    </xf>
    <xf numFmtId="3" fontId="10" fillId="5" borderId="34" xfId="0" applyNumberFormat="1" applyFont="1" applyFill="1" applyBorder="1" applyAlignment="1" applyProtection="1">
      <alignment vertical="center"/>
    </xf>
    <xf numFmtId="3" fontId="10" fillId="5" borderId="70" xfId="0" applyNumberFormat="1" applyFont="1" applyFill="1" applyBorder="1" applyAlignment="1" applyProtection="1">
      <alignment vertical="center"/>
    </xf>
    <xf numFmtId="3" fontId="10" fillId="5" borderId="15" xfId="0" applyNumberFormat="1" applyFont="1" applyFill="1" applyBorder="1" applyAlignment="1" applyProtection="1">
      <alignment vertical="center"/>
    </xf>
    <xf numFmtId="3" fontId="10" fillId="5" borderId="45" xfId="0" applyNumberFormat="1" applyFont="1" applyFill="1" applyBorder="1" applyAlignment="1" applyProtection="1">
      <alignment vertical="center"/>
    </xf>
    <xf numFmtId="0" fontId="2" fillId="0" borderId="71" xfId="0" applyFont="1" applyBorder="1" applyAlignment="1">
      <alignment horizontal="center" vertical="center" wrapText="1"/>
    </xf>
    <xf numFmtId="3" fontId="2" fillId="0" borderId="15" xfId="15" applyNumberFormat="1" applyFont="1" applyBorder="1" applyAlignment="1">
      <alignment vertical="center"/>
    </xf>
    <xf numFmtId="3" fontId="2" fillId="0" borderId="45" xfId="15" applyNumberFormat="1" applyFont="1" applyFill="1" applyBorder="1" applyAlignment="1">
      <alignment vertical="center"/>
    </xf>
    <xf numFmtId="3" fontId="2" fillId="0" borderId="0" xfId="15" applyNumberFormat="1" applyFont="1" applyAlignment="1">
      <alignment vertical="center"/>
    </xf>
    <xf numFmtId="0" fontId="2" fillId="0" borderId="71" xfId="0" applyFont="1" applyBorder="1" applyAlignment="1">
      <alignment horizontal="center"/>
    </xf>
    <xf numFmtId="3" fontId="27" fillId="0" borderId="0" xfId="0" applyNumberFormat="1" applyFont="1" applyFill="1" applyBorder="1" applyAlignment="1" applyProtection="1">
      <alignment vertical="center"/>
    </xf>
    <xf numFmtId="3" fontId="27" fillId="0" borderId="0" xfId="0" applyNumberFormat="1" applyFont="1" applyFill="1" applyAlignment="1" applyProtection="1">
      <alignment vertical="center"/>
    </xf>
    <xf numFmtId="3" fontId="25" fillId="10" borderId="0" xfId="0" applyNumberFormat="1" applyFont="1" applyFill="1" applyBorder="1" applyAlignment="1" applyProtection="1">
      <alignment vertical="center"/>
    </xf>
    <xf numFmtId="3" fontId="25" fillId="10" borderId="0" xfId="0" applyNumberFormat="1" applyFont="1" applyFill="1" applyAlignment="1" applyProtection="1">
      <alignment vertical="center"/>
    </xf>
    <xf numFmtId="4" fontId="10" fillId="0" borderId="0" xfId="0" applyNumberFormat="1" applyFont="1" applyAlignment="1" applyProtection="1">
      <alignment vertical="center"/>
    </xf>
    <xf numFmtId="4" fontId="9" fillId="0" borderId="21" xfId="0" applyNumberFormat="1" applyFont="1" applyFill="1" applyBorder="1" applyAlignment="1" applyProtection="1">
      <alignment vertical="center"/>
    </xf>
    <xf numFmtId="4" fontId="10" fillId="0" borderId="21" xfId="0" applyNumberFormat="1" applyFont="1" applyFill="1" applyBorder="1" applyAlignment="1" applyProtection="1">
      <alignment vertical="center"/>
    </xf>
    <xf numFmtId="4" fontId="10" fillId="0" borderId="72" xfId="0" applyNumberFormat="1" applyFont="1" applyFill="1" applyBorder="1" applyAlignment="1" applyProtection="1">
      <alignment vertical="center"/>
    </xf>
    <xf numFmtId="4" fontId="10" fillId="4" borderId="21" xfId="0" applyNumberFormat="1" applyFont="1" applyFill="1" applyBorder="1" applyAlignment="1" applyProtection="1">
      <alignment vertical="center"/>
      <protection locked="0"/>
    </xf>
    <xf numFmtId="4" fontId="10" fillId="4" borderId="72" xfId="0" applyNumberFormat="1" applyFont="1" applyFill="1" applyBorder="1" applyAlignment="1" applyProtection="1">
      <alignment vertical="center"/>
      <protection locked="0"/>
    </xf>
    <xf numFmtId="4" fontId="10" fillId="0" borderId="31" xfId="0" applyNumberFormat="1" applyFont="1" applyFill="1" applyBorder="1" applyAlignment="1" applyProtection="1">
      <alignment vertical="center"/>
    </xf>
    <xf numFmtId="4" fontId="10" fillId="0" borderId="73" xfId="0" applyNumberFormat="1" applyFont="1" applyFill="1" applyBorder="1" applyAlignment="1" applyProtection="1">
      <alignment vertical="center"/>
    </xf>
    <xf numFmtId="4" fontId="10" fillId="0" borderId="2" xfId="0" applyNumberFormat="1" applyFont="1" applyFill="1" applyBorder="1" applyAlignment="1" applyProtection="1">
      <alignment vertical="center"/>
    </xf>
    <xf numFmtId="4" fontId="10" fillId="0" borderId="74" xfId="0" applyNumberFormat="1" applyFont="1" applyFill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4" fontId="10" fillId="4" borderId="26" xfId="0" applyNumberFormat="1" applyFont="1" applyFill="1" applyBorder="1" applyAlignment="1" applyProtection="1">
      <alignment vertical="center"/>
      <protection locked="0"/>
    </xf>
    <xf numFmtId="4" fontId="10" fillId="0" borderId="26" xfId="0" applyNumberFormat="1" applyFont="1" applyFill="1" applyBorder="1" applyAlignment="1" applyProtection="1">
      <alignment vertical="center"/>
    </xf>
    <xf numFmtId="4" fontId="11" fillId="0" borderId="71" xfId="0" applyNumberFormat="1" applyFont="1" applyFill="1" applyBorder="1" applyAlignment="1" applyProtection="1">
      <alignment vertical="center"/>
    </xf>
    <xf numFmtId="4" fontId="11" fillId="0" borderId="75" xfId="0" applyNumberFormat="1" applyFont="1" applyFill="1" applyBorder="1" applyAlignment="1" applyProtection="1">
      <alignment vertical="center"/>
    </xf>
    <xf numFmtId="4" fontId="10" fillId="4" borderId="76" xfId="0" applyNumberFormat="1" applyFont="1" applyFill="1" applyBorder="1" applyAlignment="1" applyProtection="1">
      <alignment vertical="center"/>
      <protection locked="0"/>
    </xf>
    <xf numFmtId="4" fontId="10" fillId="4" borderId="2" xfId="0" applyNumberFormat="1" applyFont="1" applyFill="1" applyBorder="1" applyAlignment="1" applyProtection="1">
      <alignment vertical="center"/>
      <protection locked="0"/>
    </xf>
    <xf numFmtId="4" fontId="9" fillId="0" borderId="77" xfId="0" applyNumberFormat="1" applyFont="1" applyFill="1" applyBorder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10" fillId="0" borderId="78" xfId="0" applyNumberFormat="1" applyFont="1" applyBorder="1" applyAlignment="1" applyProtection="1">
      <alignment vertical="center"/>
    </xf>
    <xf numFmtId="4" fontId="10" fillId="4" borderId="31" xfId="0" applyNumberFormat="1" applyFont="1" applyFill="1" applyBorder="1" applyAlignment="1" applyProtection="1">
      <alignment vertical="center"/>
      <protection locked="0"/>
    </xf>
    <xf numFmtId="4" fontId="10" fillId="4" borderId="79" xfId="0" applyNumberFormat="1" applyFont="1" applyFill="1" applyBorder="1" applyAlignment="1" applyProtection="1">
      <alignment vertical="center"/>
      <protection locked="0"/>
    </xf>
    <xf numFmtId="4" fontId="10" fillId="0" borderId="80" xfId="0" applyNumberFormat="1" applyFont="1" applyFill="1" applyBorder="1" applyAlignment="1" applyProtection="1">
      <alignment vertical="center"/>
    </xf>
    <xf numFmtId="4" fontId="10" fillId="0" borderId="81" xfId="0" applyNumberFormat="1" applyFont="1" applyFill="1" applyBorder="1" applyAlignment="1" applyProtection="1">
      <alignment vertical="center"/>
    </xf>
    <xf numFmtId="4" fontId="9" fillId="0" borderId="21" xfId="0" applyNumberFormat="1" applyFont="1" applyFill="1" applyBorder="1" applyProtection="1"/>
    <xf numFmtId="4" fontId="10" fillId="0" borderId="21" xfId="0" applyNumberFormat="1" applyFont="1" applyFill="1" applyBorder="1" applyProtection="1"/>
    <xf numFmtId="4" fontId="10" fillId="4" borderId="21" xfId="0" applyNumberFormat="1" applyFont="1" applyFill="1" applyBorder="1" applyProtection="1">
      <protection locked="0"/>
    </xf>
    <xf numFmtId="4" fontId="25" fillId="0" borderId="21" xfId="0" applyNumberFormat="1" applyFont="1" applyFill="1" applyBorder="1" applyProtection="1"/>
    <xf numFmtId="4" fontId="9" fillId="4" borderId="21" xfId="0" applyNumberFormat="1" applyFont="1" applyFill="1" applyBorder="1" applyProtection="1">
      <protection locked="0"/>
    </xf>
    <xf numFmtId="4" fontId="14" fillId="4" borderId="26" xfId="0" applyNumberFormat="1" applyFont="1" applyFill="1" applyBorder="1" applyProtection="1">
      <protection locked="0"/>
    </xf>
    <xf numFmtId="4" fontId="25" fillId="0" borderId="82" xfId="0" applyNumberFormat="1" applyFont="1" applyFill="1" applyBorder="1" applyProtection="1"/>
    <xf numFmtId="4" fontId="25" fillId="0" borderId="19" xfId="0" applyNumberFormat="1" applyFont="1" applyFill="1" applyBorder="1" applyProtection="1"/>
    <xf numFmtId="4" fontId="9" fillId="0" borderId="83" xfId="0" applyNumberFormat="1" applyFont="1" applyFill="1" applyBorder="1" applyProtection="1"/>
    <xf numFmtId="4" fontId="1" fillId="0" borderId="2" xfId="0" applyNumberFormat="1" applyFont="1" applyFill="1" applyBorder="1" applyProtection="1"/>
    <xf numFmtId="4" fontId="18" fillId="0" borderId="84" xfId="0" applyNumberFormat="1" applyFont="1" applyFill="1" applyBorder="1" applyProtection="1"/>
    <xf numFmtId="4" fontId="0" fillId="0" borderId="0" xfId="0" applyNumberFormat="1" applyProtection="1"/>
    <xf numFmtId="4" fontId="10" fillId="0" borderId="21" xfId="0" applyNumberFormat="1" applyFont="1" applyBorder="1" applyProtection="1"/>
    <xf numFmtId="4" fontId="0" fillId="0" borderId="21" xfId="0" applyNumberFormat="1" applyBorder="1" applyProtection="1"/>
    <xf numFmtId="4" fontId="11" fillId="0" borderId="21" xfId="0" applyNumberFormat="1" applyFont="1" applyFill="1" applyBorder="1" applyProtection="1"/>
    <xf numFmtId="4" fontId="10" fillId="0" borderId="21" xfId="0" applyNumberFormat="1" applyFont="1" applyFill="1" applyBorder="1" applyProtection="1">
      <protection locked="0"/>
    </xf>
    <xf numFmtId="4" fontId="25" fillId="0" borderId="2" xfId="0" applyNumberFormat="1" applyFont="1" applyFill="1" applyBorder="1" applyProtection="1"/>
    <xf numFmtId="3" fontId="21" fillId="0" borderId="0" xfId="0" applyNumberFormat="1" applyFont="1" applyBorder="1" applyAlignment="1">
      <alignment vertical="center"/>
    </xf>
    <xf numFmtId="0" fontId="19" fillId="0" borderId="5" xfId="0" applyFont="1" applyBorder="1" applyAlignment="1" applyProtection="1">
      <alignment vertical="center"/>
    </xf>
    <xf numFmtId="3" fontId="35" fillId="0" borderId="5" xfId="0" applyNumberFormat="1" applyFont="1" applyBorder="1"/>
    <xf numFmtId="4" fontId="6" fillId="0" borderId="27" xfId="0" applyNumberFormat="1" applyFont="1" applyBorder="1" applyProtection="1"/>
    <xf numFmtId="4" fontId="4" fillId="0" borderId="0" xfId="0" applyNumberFormat="1" applyFont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Border="1" applyProtection="1"/>
    <xf numFmtId="4" fontId="3" fillId="0" borderId="85" xfId="0" applyNumberFormat="1" applyFont="1" applyFill="1" applyBorder="1" applyProtection="1"/>
    <xf numFmtId="4" fontId="8" fillId="0" borderId="86" xfId="0" applyNumberFormat="1" applyFont="1" applyBorder="1" applyProtection="1"/>
    <xf numFmtId="4" fontId="3" fillId="0" borderId="0" xfId="0" applyNumberFormat="1" applyFont="1" applyBorder="1" applyProtection="1"/>
    <xf numFmtId="4" fontId="6" fillId="0" borderId="1" xfId="0" applyNumberFormat="1" applyFont="1" applyBorder="1" applyProtection="1"/>
    <xf numFmtId="4" fontId="0" fillId="0" borderId="0" xfId="0" applyNumberFormat="1" applyBorder="1" applyAlignment="1" applyProtection="1">
      <alignment vertical="center"/>
    </xf>
    <xf numFmtId="4" fontId="6" fillId="3" borderId="20" xfId="0" applyNumberFormat="1" applyFont="1" applyFill="1" applyBorder="1" applyAlignment="1" applyProtection="1">
      <alignment horizontal="center" vertical="center"/>
    </xf>
    <xf numFmtId="4" fontId="10" fillId="0" borderId="87" xfId="0" applyNumberFormat="1" applyFont="1" applyFill="1" applyBorder="1" applyAlignment="1" applyProtection="1">
      <alignment horizontal="center" vertical="center"/>
    </xf>
    <xf numFmtId="4" fontId="11" fillId="4" borderId="75" xfId="0" applyNumberFormat="1" applyFont="1" applyFill="1" applyBorder="1" applyAlignment="1" applyProtection="1">
      <alignment vertical="center"/>
      <protection locked="0"/>
    </xf>
    <xf numFmtId="4" fontId="18" fillId="0" borderId="75" xfId="0" applyNumberFormat="1" applyFont="1" applyFill="1" applyBorder="1" applyAlignment="1" applyProtection="1">
      <alignment vertical="center"/>
    </xf>
    <xf numFmtId="4" fontId="10" fillId="0" borderId="88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4" fontId="10" fillId="11" borderId="72" xfId="0" applyNumberFormat="1" applyFont="1" applyFill="1" applyBorder="1" applyAlignment="1" applyProtection="1">
      <alignment vertical="center"/>
      <protection locked="0"/>
    </xf>
    <xf numFmtId="4" fontId="10" fillId="12" borderId="73" xfId="0" applyNumberFormat="1" applyFont="1" applyFill="1" applyBorder="1" applyAlignment="1" applyProtection="1">
      <alignment vertical="center"/>
      <protection locked="0"/>
    </xf>
    <xf numFmtId="4" fontId="11" fillId="12" borderId="72" xfId="0" applyNumberFormat="1" applyFont="1" applyFill="1" applyBorder="1" applyAlignment="1" applyProtection="1">
      <alignment vertical="center"/>
      <protection locked="0"/>
    </xf>
    <xf numFmtId="4" fontId="11" fillId="0" borderId="14" xfId="0" applyNumberFormat="1" applyFont="1" applyFill="1" applyBorder="1" applyAlignment="1" applyProtection="1">
      <alignment vertical="center"/>
    </xf>
    <xf numFmtId="3" fontId="10" fillId="0" borderId="80" xfId="0" applyNumberFormat="1" applyFont="1" applyFill="1" applyBorder="1" applyAlignment="1" applyProtection="1">
      <alignment vertical="center"/>
    </xf>
    <xf numFmtId="3" fontId="10" fillId="0" borderId="36" xfId="0" applyNumberFormat="1" applyFont="1" applyFill="1" applyBorder="1" applyAlignment="1" applyProtection="1">
      <alignment vertical="center"/>
    </xf>
    <xf numFmtId="4" fontId="10" fillId="0" borderId="89" xfId="0" applyNumberFormat="1" applyFont="1" applyFill="1" applyBorder="1" applyAlignment="1" applyProtection="1">
      <alignment horizontal="center" vertical="center"/>
    </xf>
    <xf numFmtId="4" fontId="10" fillId="0" borderId="76" xfId="0" applyNumberFormat="1" applyFont="1" applyFill="1" applyBorder="1" applyAlignment="1" applyProtection="1">
      <alignment vertical="center"/>
    </xf>
    <xf numFmtId="4" fontId="10" fillId="0" borderId="90" xfId="0" applyNumberFormat="1" applyFont="1" applyFill="1" applyBorder="1" applyAlignment="1" applyProtection="1">
      <alignment vertical="center"/>
    </xf>
    <xf numFmtId="4" fontId="11" fillId="0" borderId="11" xfId="0" applyNumberFormat="1" applyFont="1" applyFill="1" applyBorder="1" applyAlignment="1" applyProtection="1">
      <alignment vertical="center"/>
    </xf>
    <xf numFmtId="4" fontId="10" fillId="0" borderId="91" xfId="0" applyNumberFormat="1" applyFont="1" applyFill="1" applyBorder="1" applyAlignment="1" applyProtection="1">
      <alignment vertical="center"/>
    </xf>
    <xf numFmtId="4" fontId="11" fillId="4" borderId="11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</xf>
    <xf numFmtId="4" fontId="18" fillId="0" borderId="11" xfId="0" applyNumberFormat="1" applyFont="1" applyFill="1" applyBorder="1" applyAlignment="1" applyProtection="1">
      <alignment vertical="center"/>
    </xf>
    <xf numFmtId="4" fontId="10" fillId="0" borderId="9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vertical="center"/>
      <protection locked="0"/>
    </xf>
    <xf numFmtId="0" fontId="5" fillId="0" borderId="0" xfId="11"/>
    <xf numFmtId="0" fontId="4" fillId="0" borderId="0" xfId="11" applyFont="1" applyFill="1" applyProtection="1">
      <protection locked="0"/>
    </xf>
    <xf numFmtId="0" fontId="5" fillId="0" borderId="0" xfId="11" applyFill="1" applyProtection="1">
      <protection locked="0"/>
    </xf>
    <xf numFmtId="4" fontId="5" fillId="0" borderId="0" xfId="11" applyNumberFormat="1"/>
    <xf numFmtId="4" fontId="0" fillId="0" borderId="0" xfId="0" applyNumberFormat="1" applyBorder="1" applyProtection="1"/>
    <xf numFmtId="4" fontId="0" fillId="0" borderId="0" xfId="0" applyNumberFormat="1"/>
    <xf numFmtId="0" fontId="5" fillId="0" borderId="0" xfId="0" applyFont="1" applyProtection="1"/>
    <xf numFmtId="169" fontId="10" fillId="0" borderId="0" xfId="0" applyNumberFormat="1" applyFont="1" applyAlignment="1" applyProtection="1">
      <alignment vertical="center"/>
    </xf>
    <xf numFmtId="4" fontId="10" fillId="10" borderId="31" xfId="0" applyNumberFormat="1" applyFont="1" applyFill="1" applyBorder="1" applyAlignment="1" applyProtection="1">
      <alignment vertical="center"/>
      <protection locked="0"/>
    </xf>
    <xf numFmtId="4" fontId="10" fillId="10" borderId="79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horizontal="left" vertical="center" wrapText="1"/>
    </xf>
    <xf numFmtId="4" fontId="5" fillId="0" borderId="0" xfId="0" applyNumberFormat="1" applyFont="1"/>
    <xf numFmtId="0" fontId="0" fillId="0" borderId="0" xfId="0" quotePrefix="1" applyAlignment="1" applyProtection="1">
      <alignment vertical="center"/>
    </xf>
    <xf numFmtId="0" fontId="6" fillId="0" borderId="93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3" fontId="16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9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8" fillId="0" borderId="94" xfId="0" applyFont="1" applyFill="1" applyBorder="1" applyAlignment="1" applyProtection="1">
      <alignment vertical="center"/>
    </xf>
    <xf numFmtId="4" fontId="40" fillId="0" borderId="0" xfId="0" applyNumberFormat="1" applyFont="1"/>
    <xf numFmtId="0" fontId="8" fillId="0" borderId="0" xfId="0" applyFont="1" applyBorder="1" applyAlignment="1" applyProtection="1">
      <alignment horizontal="center" vertical="center"/>
    </xf>
    <xf numFmtId="0" fontId="6" fillId="3" borderId="95" xfId="0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vertical="center"/>
    </xf>
    <xf numFmtId="0" fontId="6" fillId="0" borderId="0" xfId="11" applyFont="1"/>
    <xf numFmtId="0" fontId="8" fillId="0" borderId="0" xfId="11" applyFont="1"/>
    <xf numFmtId="0" fontId="6" fillId="0" borderId="52" xfId="11" applyFont="1" applyBorder="1" applyAlignment="1">
      <alignment horizontal="center"/>
    </xf>
    <xf numFmtId="0" fontId="3" fillId="0" borderId="1" xfId="11" applyFont="1" applyBorder="1"/>
    <xf numFmtId="0" fontId="5" fillId="0" borderId="1" xfId="11" applyBorder="1"/>
    <xf numFmtId="0" fontId="4" fillId="0" borderId="1" xfId="11" applyFont="1" applyBorder="1"/>
    <xf numFmtId="0" fontId="3" fillId="3" borderId="23" xfId="11" applyFont="1" applyFill="1" applyBorder="1" applyAlignment="1">
      <alignment horizontal="center" vertical="center"/>
    </xf>
    <xf numFmtId="0" fontId="3" fillId="3" borderId="2" xfId="11" applyFont="1" applyFill="1" applyBorder="1" applyAlignment="1">
      <alignment horizontal="center" vertical="center"/>
    </xf>
    <xf numFmtId="0" fontId="6" fillId="3" borderId="96" xfId="11" applyFont="1" applyFill="1" applyBorder="1" applyAlignment="1">
      <alignment horizontal="center"/>
    </xf>
    <xf numFmtId="0" fontId="3" fillId="3" borderId="6" xfId="11" applyFont="1" applyFill="1" applyBorder="1" applyAlignment="1">
      <alignment horizontal="center"/>
    </xf>
    <xf numFmtId="0" fontId="3" fillId="3" borderId="70" xfId="11" applyFont="1" applyFill="1" applyBorder="1" applyAlignment="1">
      <alignment horizontal="center"/>
    </xf>
    <xf numFmtId="0" fontId="3" fillId="3" borderId="14" xfId="11" applyFont="1" applyFill="1" applyBorder="1" applyAlignment="1">
      <alignment horizontal="center"/>
    </xf>
    <xf numFmtId="0" fontId="3" fillId="3" borderId="15" xfId="11" applyFont="1" applyFill="1" applyBorder="1" applyAlignment="1">
      <alignment horizontal="center"/>
    </xf>
    <xf numFmtId="0" fontId="3" fillId="3" borderId="11" xfId="11" applyFont="1" applyFill="1" applyBorder="1" applyAlignment="1">
      <alignment horizontal="center"/>
    </xf>
    <xf numFmtId="0" fontId="3" fillId="3" borderId="3" xfId="11" applyFont="1" applyFill="1" applyBorder="1" applyAlignment="1">
      <alignment horizontal="center"/>
    </xf>
    <xf numFmtId="0" fontId="6" fillId="3" borderId="97" xfId="11" applyFont="1" applyFill="1" applyBorder="1" applyAlignment="1">
      <alignment horizontal="center"/>
    </xf>
    <xf numFmtId="0" fontId="5" fillId="0" borderId="4" xfId="11" applyBorder="1"/>
    <xf numFmtId="3" fontId="10" fillId="4" borderId="21" xfId="11" applyNumberFormat="1" applyFont="1" applyFill="1" applyBorder="1" applyProtection="1">
      <protection locked="0"/>
    </xf>
    <xf numFmtId="4" fontId="10" fillId="4" borderId="21" xfId="11" applyNumberFormat="1" applyFont="1" applyFill="1" applyBorder="1" applyProtection="1">
      <protection locked="0"/>
    </xf>
    <xf numFmtId="4" fontId="10" fillId="0" borderId="98" xfId="11" applyNumberFormat="1" applyFont="1" applyFill="1" applyBorder="1"/>
    <xf numFmtId="4" fontId="10" fillId="0" borderId="72" xfId="11" applyNumberFormat="1" applyFont="1" applyFill="1" applyBorder="1"/>
    <xf numFmtId="10" fontId="10" fillId="0" borderId="98" xfId="11" applyNumberFormat="1" applyFont="1" applyFill="1" applyBorder="1"/>
    <xf numFmtId="0" fontId="5" fillId="0" borderId="2" xfId="11" applyBorder="1"/>
    <xf numFmtId="10" fontId="10" fillId="0" borderId="72" xfId="11" applyNumberFormat="1" applyFont="1" applyFill="1" applyBorder="1"/>
    <xf numFmtId="4" fontId="10" fillId="0" borderId="99" xfId="11" applyNumberFormat="1" applyFont="1" applyFill="1" applyBorder="1" applyProtection="1">
      <protection locked="0"/>
    </xf>
    <xf numFmtId="4" fontId="10" fillId="0" borderId="21" xfId="11" applyNumberFormat="1" applyFont="1" applyFill="1" applyBorder="1" applyProtection="1">
      <protection locked="0"/>
    </xf>
    <xf numFmtId="0" fontId="10" fillId="0" borderId="16" xfId="11" applyFont="1" applyFill="1" applyBorder="1" applyProtection="1">
      <protection locked="0"/>
    </xf>
    <xf numFmtId="3" fontId="10" fillId="0" borderId="21" xfId="11" applyNumberFormat="1" applyFont="1" applyFill="1" applyBorder="1" applyProtection="1">
      <protection locked="0"/>
    </xf>
    <xf numFmtId="4" fontId="10" fillId="0" borderId="2" xfId="11" applyNumberFormat="1" applyFont="1" applyFill="1" applyBorder="1" applyProtection="1">
      <protection locked="0"/>
    </xf>
    <xf numFmtId="4" fontId="10" fillId="0" borderId="100" xfId="11" applyNumberFormat="1" applyFont="1" applyFill="1" applyBorder="1"/>
    <xf numFmtId="4" fontId="10" fillId="0" borderId="14" xfId="11" applyNumberFormat="1" applyFont="1" applyFill="1" applyBorder="1"/>
    <xf numFmtId="4" fontId="10" fillId="0" borderId="75" xfId="11" applyNumberFormat="1" applyFont="1" applyFill="1" applyBorder="1"/>
    <xf numFmtId="3" fontId="10" fillId="0" borderId="45" xfId="11" applyNumberFormat="1" applyFont="1" applyFill="1" applyBorder="1"/>
    <xf numFmtId="3" fontId="10" fillId="0" borderId="3" xfId="11" applyNumberFormat="1" applyFont="1" applyFill="1" applyBorder="1" applyProtection="1">
      <protection locked="0"/>
    </xf>
    <xf numFmtId="10" fontId="10" fillId="0" borderId="100" xfId="11" applyNumberFormat="1" applyFont="1" applyFill="1" applyBorder="1"/>
    <xf numFmtId="0" fontId="11" fillId="0" borderId="28" xfId="11" applyFont="1" applyFill="1" applyBorder="1"/>
    <xf numFmtId="3" fontId="10" fillId="0" borderId="14" xfId="11" applyNumberFormat="1" applyFont="1" applyFill="1" applyBorder="1"/>
    <xf numFmtId="4" fontId="10" fillId="0" borderId="71" xfId="11" applyNumberFormat="1" applyFont="1" applyFill="1" applyBorder="1"/>
    <xf numFmtId="10" fontId="10" fillId="0" borderId="11" xfId="11" applyNumberFormat="1" applyFont="1" applyFill="1" applyBorder="1"/>
    <xf numFmtId="0" fontId="5" fillId="0" borderId="28" xfId="11" applyFill="1" applyBorder="1"/>
    <xf numFmtId="0" fontId="6" fillId="0" borderId="15" xfId="11" applyFont="1" applyFill="1" applyBorder="1"/>
    <xf numFmtId="0" fontId="5" fillId="0" borderId="15" xfId="11" applyFill="1" applyBorder="1"/>
    <xf numFmtId="4" fontId="10" fillId="0" borderId="75" xfId="11" applyNumberFormat="1" applyFont="1" applyFill="1" applyBorder="1" applyProtection="1">
      <protection locked="0"/>
    </xf>
    <xf numFmtId="0" fontId="6" fillId="0" borderId="28" xfId="11" applyFont="1" applyFill="1" applyBorder="1"/>
    <xf numFmtId="0" fontId="5" fillId="0" borderId="45" xfId="11" applyFill="1" applyBorder="1"/>
    <xf numFmtId="0" fontId="4" fillId="0" borderId="71" xfId="11" applyFont="1" applyFill="1" applyBorder="1"/>
    <xf numFmtId="10" fontId="10" fillId="0" borderId="75" xfId="11" applyNumberFormat="1" applyFont="1" applyFill="1" applyBorder="1"/>
    <xf numFmtId="0" fontId="5" fillId="0" borderId="8" xfId="11" applyFill="1" applyBorder="1"/>
    <xf numFmtId="0" fontId="4" fillId="0" borderId="11" xfId="11" applyFont="1" applyFill="1" applyBorder="1"/>
    <xf numFmtId="0" fontId="6" fillId="0" borderId="0" xfId="11" applyFont="1" applyFill="1" applyProtection="1">
      <protection locked="0"/>
    </xf>
    <xf numFmtId="0" fontId="4" fillId="0" borderId="15" xfId="11" applyFont="1" applyFill="1" applyBorder="1" applyProtection="1">
      <protection locked="0"/>
    </xf>
    <xf numFmtId="0" fontId="4" fillId="0" borderId="10" xfId="11" applyFont="1" applyFill="1" applyBorder="1"/>
    <xf numFmtId="10" fontId="38" fillId="0" borderId="75" xfId="11" applyNumberFormat="1" applyFont="1" applyFill="1" applyBorder="1"/>
    <xf numFmtId="0" fontId="8" fillId="0" borderId="101" xfId="11" applyFont="1" applyFill="1" applyBorder="1"/>
    <xf numFmtId="0" fontId="8" fillId="0" borderId="102" xfId="11" applyFont="1" applyFill="1" applyBorder="1" applyProtection="1">
      <protection locked="0"/>
    </xf>
    <xf numFmtId="3" fontId="8" fillId="0" borderId="102" xfId="11" applyNumberFormat="1" applyFont="1" applyFill="1" applyBorder="1" applyProtection="1">
      <protection locked="0"/>
    </xf>
    <xf numFmtId="3" fontId="8" fillId="0" borderId="103" xfId="11" applyNumberFormat="1" applyFont="1" applyFill="1" applyBorder="1" applyProtection="1">
      <protection locked="0"/>
    </xf>
    <xf numFmtId="4" fontId="9" fillId="0" borderId="104" xfId="11" applyNumberFormat="1" applyFont="1" applyFill="1" applyBorder="1"/>
    <xf numFmtId="0" fontId="4" fillId="0" borderId="101" xfId="11" applyFont="1" applyFill="1" applyBorder="1" applyProtection="1">
      <protection locked="0"/>
    </xf>
    <xf numFmtId="3" fontId="4" fillId="0" borderId="102" xfId="11" applyNumberFormat="1" applyFont="1" applyFill="1" applyBorder="1" applyProtection="1">
      <protection locked="0"/>
    </xf>
    <xf numFmtId="3" fontId="4" fillId="0" borderId="103" xfId="11" applyNumberFormat="1" applyFont="1" applyFill="1" applyBorder="1" applyProtection="1">
      <protection locked="0"/>
    </xf>
    <xf numFmtId="10" fontId="7" fillId="0" borderId="105" xfId="11" applyNumberFormat="1" applyFont="1" applyFill="1" applyBorder="1"/>
    <xf numFmtId="0" fontId="5" fillId="0" borderId="0" xfId="11" applyFill="1"/>
    <xf numFmtId="4" fontId="10" fillId="0" borderId="0" xfId="11" applyNumberFormat="1" applyFont="1" applyFill="1"/>
    <xf numFmtId="3" fontId="10" fillId="0" borderId="0" xfId="11" applyNumberFormat="1" applyFont="1" applyFill="1"/>
    <xf numFmtId="0" fontId="11" fillId="0" borderId="0" xfId="11" applyFont="1" applyAlignment="1">
      <alignment vertical="center"/>
    </xf>
    <xf numFmtId="0" fontId="22" fillId="0" borderId="106" xfId="11" applyFont="1" applyBorder="1"/>
    <xf numFmtId="0" fontId="22" fillId="0" borderId="35" xfId="11" applyFont="1" applyBorder="1"/>
    <xf numFmtId="0" fontId="22" fillId="0" borderId="69" xfId="11" applyFont="1" applyBorder="1"/>
    <xf numFmtId="0" fontId="22" fillId="0" borderId="107" xfId="11" applyFont="1" applyBorder="1"/>
    <xf numFmtId="0" fontId="22" fillId="0" borderId="34" xfId="11" applyFont="1" applyBorder="1"/>
    <xf numFmtId="0" fontId="22" fillId="0" borderId="70" xfId="11" applyFont="1" applyBorder="1"/>
    <xf numFmtId="14" fontId="6" fillId="3" borderId="18" xfId="0" applyNumberFormat="1" applyFont="1" applyFill="1" applyBorder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 vertical="center"/>
    </xf>
    <xf numFmtId="0" fontId="5" fillId="0" borderId="0" xfId="0" applyFont="1"/>
    <xf numFmtId="4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Fill="1" applyProtection="1"/>
    <xf numFmtId="4" fontId="0" fillId="0" borderId="0" xfId="0" applyNumberFormat="1" applyFill="1" applyProtection="1"/>
    <xf numFmtId="0" fontId="5" fillId="0" borderId="0" xfId="0" applyFont="1" applyFill="1" applyProtection="1"/>
    <xf numFmtId="4" fontId="0" fillId="0" borderId="0" xfId="0" applyNumberFormat="1" applyFill="1"/>
    <xf numFmtId="4" fontId="5" fillId="0" borderId="0" xfId="11" applyNumberFormat="1" applyFill="1"/>
    <xf numFmtId="166" fontId="10" fillId="0" borderId="0" xfId="0" applyNumberFormat="1" applyFont="1" applyAlignment="1" applyProtection="1">
      <alignment vertical="center"/>
    </xf>
    <xf numFmtId="4" fontId="10" fillId="0" borderId="26" xfId="11" applyNumberFormat="1" applyFont="1" applyFill="1" applyBorder="1"/>
    <xf numFmtId="4" fontId="10" fillId="0" borderId="26" xfId="11" applyNumberFormat="1" applyFont="1" applyFill="1" applyBorder="1" applyProtection="1">
      <protection locked="0"/>
    </xf>
    <xf numFmtId="4" fontId="10" fillId="0" borderId="36" xfId="11" applyNumberFormat="1" applyFont="1" applyFill="1" applyBorder="1" applyProtection="1">
      <protection locked="0"/>
    </xf>
    <xf numFmtId="4" fontId="10" fillId="0" borderId="5" xfId="11" applyNumberFormat="1" applyFont="1" applyFill="1" applyBorder="1" applyProtection="1">
      <protection locked="0"/>
    </xf>
    <xf numFmtId="4" fontId="10" fillId="0" borderId="108" xfId="11" applyNumberFormat="1" applyFont="1" applyFill="1" applyBorder="1" applyProtection="1">
      <protection locked="0"/>
    </xf>
    <xf numFmtId="4" fontId="10" fillId="0" borderId="27" xfId="11" applyNumberFormat="1" applyFont="1" applyFill="1" applyBorder="1" applyProtection="1">
      <protection locked="0"/>
    </xf>
    <xf numFmtId="4" fontId="10" fillId="0" borderId="31" xfId="11" applyNumberFormat="1" applyFont="1" applyFill="1" applyBorder="1"/>
    <xf numFmtId="0" fontId="6" fillId="3" borderId="18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35" xfId="0" applyBorder="1" applyAlignment="1">
      <alignment horizontal="right"/>
    </xf>
    <xf numFmtId="0" fontId="17" fillId="0" borderId="0" xfId="0" applyFont="1" applyBorder="1" applyAlignment="1" applyProtection="1">
      <alignment horizontal="left" vertical="center"/>
    </xf>
    <xf numFmtId="3" fontId="0" fillId="0" borderId="34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10" fillId="0" borderId="78" xfId="0" applyNumberFormat="1" applyFont="1" applyBorder="1" applyAlignment="1">
      <alignment vertical="center"/>
    </xf>
    <xf numFmtId="0" fontId="0" fillId="13" borderId="0" xfId="0" applyFill="1" applyAlignment="1" applyProtection="1">
      <alignment vertical="center"/>
    </xf>
    <xf numFmtId="4" fontId="0" fillId="13" borderId="0" xfId="0" applyNumberFormat="1" applyFill="1" applyAlignment="1" applyProtection="1">
      <alignment vertical="center"/>
    </xf>
    <xf numFmtId="9" fontId="0" fillId="13" borderId="0" xfId="0" applyNumberFormat="1" applyFill="1" applyAlignment="1" applyProtection="1">
      <alignment vertical="center"/>
    </xf>
    <xf numFmtId="0" fontId="5" fillId="13" borderId="0" xfId="0" applyFont="1" applyFill="1" applyAlignment="1" applyProtection="1">
      <alignment vertical="center"/>
    </xf>
    <xf numFmtId="0" fontId="12" fillId="13" borderId="0" xfId="0" applyFont="1" applyFill="1" applyAlignment="1" applyProtection="1">
      <alignment vertical="center"/>
    </xf>
    <xf numFmtId="4" fontId="12" fillId="13" borderId="0" xfId="0" applyNumberFormat="1" applyFont="1" applyFill="1" applyAlignment="1" applyProtection="1">
      <alignment vertical="center"/>
    </xf>
    <xf numFmtId="0" fontId="2" fillId="13" borderId="0" xfId="0" applyFont="1" applyFill="1" applyAlignment="1" applyProtection="1">
      <alignment vertical="center"/>
    </xf>
    <xf numFmtId="0" fontId="2" fillId="13" borderId="0" xfId="0" applyFont="1" applyFill="1" applyAlignment="1" applyProtection="1">
      <alignment horizontal="center" vertical="center"/>
    </xf>
    <xf numFmtId="4" fontId="2" fillId="13" borderId="0" xfId="0" applyNumberFormat="1" applyFont="1" applyFill="1" applyAlignment="1" applyProtection="1">
      <alignment horizontal="center" vertical="center"/>
    </xf>
    <xf numFmtId="4" fontId="2" fillId="13" borderId="0" xfId="0" applyNumberFormat="1" applyFont="1" applyFill="1" applyAlignment="1" applyProtection="1">
      <alignment vertical="center"/>
    </xf>
    <xf numFmtId="165" fontId="9" fillId="3" borderId="82" xfId="0" applyNumberFormat="1" applyFont="1" applyFill="1" applyBorder="1" applyAlignment="1" applyProtection="1">
      <alignment horizontal="center" vertical="center"/>
    </xf>
    <xf numFmtId="3" fontId="10" fillId="0" borderId="109" xfId="0" applyNumberFormat="1" applyFont="1" applyFill="1" applyBorder="1" applyAlignment="1" applyProtection="1">
      <alignment vertical="center"/>
    </xf>
    <xf numFmtId="4" fontId="9" fillId="0" borderId="26" xfId="0" applyNumberFormat="1" applyFont="1" applyFill="1" applyBorder="1" applyAlignment="1" applyProtection="1">
      <alignment vertical="center"/>
    </xf>
    <xf numFmtId="4" fontId="9" fillId="0" borderId="22" xfId="0" applyNumberFormat="1" applyFont="1" applyFill="1" applyBorder="1" applyAlignment="1" applyProtection="1">
      <alignment vertical="center"/>
    </xf>
    <xf numFmtId="14" fontId="6" fillId="3" borderId="110" xfId="0" applyNumberFormat="1" applyFont="1" applyFill="1" applyBorder="1" applyAlignment="1" applyProtection="1">
      <alignment horizontal="center" vertical="center"/>
    </xf>
    <xf numFmtId="165" fontId="9" fillId="3" borderId="111" xfId="0" applyNumberFormat="1" applyFont="1" applyFill="1" applyBorder="1" applyAlignment="1" applyProtection="1">
      <alignment horizontal="center" vertical="center"/>
    </xf>
    <xf numFmtId="4" fontId="9" fillId="0" borderId="108" xfId="0" applyNumberFormat="1" applyFont="1" applyFill="1" applyBorder="1" applyAlignment="1" applyProtection="1">
      <alignment vertical="center"/>
    </xf>
    <xf numFmtId="4" fontId="10" fillId="0" borderId="108" xfId="0" applyNumberFormat="1" applyFont="1" applyFill="1" applyBorder="1" applyAlignment="1" applyProtection="1">
      <alignment vertical="center"/>
    </xf>
    <xf numFmtId="4" fontId="10" fillId="4" borderId="108" xfId="0" applyNumberFormat="1" applyFont="1" applyFill="1" applyBorder="1" applyAlignment="1" applyProtection="1">
      <alignment vertical="center"/>
      <protection locked="0"/>
    </xf>
    <xf numFmtId="3" fontId="10" fillId="0" borderId="108" xfId="0" applyNumberFormat="1" applyFont="1" applyFill="1" applyBorder="1" applyAlignment="1" applyProtection="1">
      <alignment vertical="center"/>
    </xf>
    <xf numFmtId="3" fontId="10" fillId="0" borderId="112" xfId="0" applyNumberFormat="1" applyFont="1" applyFill="1" applyBorder="1" applyAlignment="1" applyProtection="1">
      <alignment vertical="center"/>
    </xf>
    <xf numFmtId="4" fontId="9" fillId="0" borderId="113" xfId="0" applyNumberFormat="1" applyFont="1" applyFill="1" applyBorder="1" applyAlignment="1" applyProtection="1">
      <alignment vertical="center"/>
    </xf>
    <xf numFmtId="4" fontId="9" fillId="0" borderId="114" xfId="0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 applyProtection="1">
      <alignment vertical="center"/>
    </xf>
    <xf numFmtId="0" fontId="2" fillId="13" borderId="0" xfId="0" applyFont="1" applyFill="1" applyBorder="1" applyAlignment="1" applyProtection="1">
      <alignment vertical="center"/>
    </xf>
    <xf numFmtId="0" fontId="0" fillId="13" borderId="0" xfId="0" applyFill="1" applyBorder="1" applyAlignment="1" applyProtection="1">
      <alignment vertical="center"/>
    </xf>
    <xf numFmtId="4" fontId="0" fillId="13" borderId="0" xfId="0" applyNumberFormat="1" applyFill="1" applyBorder="1" applyAlignment="1" applyProtection="1">
      <alignment vertical="center"/>
    </xf>
    <xf numFmtId="4" fontId="5" fillId="13" borderId="0" xfId="0" applyNumberFormat="1" applyFont="1" applyFill="1" applyAlignment="1" applyProtection="1">
      <alignment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0" fillId="13" borderId="0" xfId="0" applyFill="1" applyAlignment="1" applyProtection="1">
      <alignment vertical="center" wrapText="1"/>
    </xf>
    <xf numFmtId="0" fontId="6" fillId="3" borderId="95" xfId="0" applyFont="1" applyFill="1" applyBorder="1" applyAlignment="1">
      <alignment horizontal="center" vertical="center"/>
    </xf>
    <xf numFmtId="165" fontId="6" fillId="3" borderId="82" xfId="0" applyNumberFormat="1" applyFont="1" applyFill="1" applyBorder="1" applyAlignment="1">
      <alignment horizontal="center" vertical="center"/>
    </xf>
    <xf numFmtId="3" fontId="10" fillId="0" borderId="109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vertical="center"/>
    </xf>
    <xf numFmtId="4" fontId="10" fillId="0" borderId="36" xfId="0" applyNumberFormat="1" applyFont="1" applyFill="1" applyBorder="1" applyAlignment="1" applyProtection="1">
      <alignment vertical="center"/>
    </xf>
    <xf numFmtId="4" fontId="10" fillId="4" borderId="36" xfId="0" applyNumberFormat="1" applyFont="1" applyFill="1" applyBorder="1" applyAlignment="1" applyProtection="1">
      <alignment vertical="center"/>
      <protection locked="0"/>
    </xf>
    <xf numFmtId="4" fontId="10" fillId="0" borderId="36" xfId="0" applyNumberFormat="1" applyFont="1" applyFill="1" applyBorder="1" applyAlignment="1" applyProtection="1">
      <alignment vertical="center"/>
      <protection locked="0"/>
    </xf>
    <xf numFmtId="4" fontId="9" fillId="0" borderId="115" xfId="0" applyNumberFormat="1" applyFont="1" applyFill="1" applyBorder="1" applyAlignment="1" applyProtection="1">
      <alignment vertical="center"/>
    </xf>
    <xf numFmtId="165" fontId="6" fillId="3" borderId="116" xfId="0" applyNumberFormat="1" applyFont="1" applyFill="1" applyBorder="1" applyAlignment="1" applyProtection="1">
      <alignment horizontal="center" vertical="center"/>
    </xf>
    <xf numFmtId="3" fontId="10" fillId="0" borderId="89" xfId="0" applyNumberFormat="1" applyFont="1" applyFill="1" applyBorder="1" applyAlignment="1" applyProtection="1">
      <alignment horizontal="center" vertical="center"/>
    </xf>
    <xf numFmtId="3" fontId="10" fillId="0" borderId="76" xfId="0" applyNumberFormat="1" applyFont="1" applyFill="1" applyBorder="1" applyAlignment="1" applyProtection="1">
      <alignment vertical="center"/>
    </xf>
    <xf numFmtId="4" fontId="10" fillId="0" borderId="117" xfId="0" applyNumberFormat="1" applyFont="1" applyFill="1" applyBorder="1" applyAlignment="1" applyProtection="1">
      <alignment vertical="center"/>
    </xf>
    <xf numFmtId="3" fontId="10" fillId="0" borderId="25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vertical="center"/>
      <protection locked="0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118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vertical="center"/>
    </xf>
    <xf numFmtId="14" fontId="9" fillId="3" borderId="85" xfId="0" applyNumberFormat="1" applyFont="1" applyFill="1" applyBorder="1" applyAlignment="1" applyProtection="1">
      <alignment horizontal="center" vertical="center"/>
    </xf>
    <xf numFmtId="4" fontId="10" fillId="4" borderId="117" xfId="0" applyNumberFormat="1" applyFont="1" applyFill="1" applyBorder="1" applyAlignment="1" applyProtection="1">
      <alignment vertical="center"/>
      <protection locked="0"/>
    </xf>
    <xf numFmtId="4" fontId="10" fillId="0" borderId="119" xfId="0" applyNumberFormat="1" applyFont="1" applyFill="1" applyBorder="1" applyAlignment="1" applyProtection="1">
      <alignment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0" borderId="25" xfId="0" applyNumberFormat="1" applyFont="1" applyFill="1" applyBorder="1" applyAlignment="1" applyProtection="1">
      <alignment horizontal="center" vertical="center"/>
    </xf>
    <xf numFmtId="3" fontId="10" fillId="0" borderId="120" xfId="0" applyNumberFormat="1" applyFont="1" applyFill="1" applyBorder="1" applyAlignment="1" applyProtection="1">
      <alignment vertical="center"/>
    </xf>
    <xf numFmtId="4" fontId="10" fillId="0" borderId="120" xfId="0" applyNumberFormat="1" applyFont="1" applyFill="1" applyBorder="1" applyAlignment="1" applyProtection="1">
      <alignment vertical="center"/>
    </xf>
    <xf numFmtId="4" fontId="11" fillId="4" borderId="71" xfId="0" applyNumberFormat="1" applyFont="1" applyFill="1" applyBorder="1" applyAlignment="1" applyProtection="1">
      <alignment vertical="center"/>
      <protection locked="0"/>
    </xf>
    <xf numFmtId="4" fontId="18" fillId="0" borderId="71" xfId="0" applyNumberFormat="1" applyFont="1" applyFill="1" applyBorder="1" applyAlignment="1" applyProtection="1">
      <alignment vertical="center"/>
    </xf>
    <xf numFmtId="4" fontId="10" fillId="0" borderId="37" xfId="0" applyNumberFormat="1" applyFont="1" applyFill="1" applyBorder="1" applyAlignment="1" applyProtection="1">
      <alignment vertical="center"/>
    </xf>
    <xf numFmtId="4" fontId="0" fillId="13" borderId="0" xfId="0" applyNumberFormat="1" applyFill="1" applyProtection="1"/>
    <xf numFmtId="0" fontId="6" fillId="3" borderId="17" xfId="0" applyFont="1" applyFill="1" applyBorder="1" applyAlignment="1" applyProtection="1">
      <alignment horizontal="center"/>
    </xf>
    <xf numFmtId="14" fontId="9" fillId="3" borderId="82" xfId="0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Fill="1" applyBorder="1" applyProtection="1"/>
    <xf numFmtId="4" fontId="10" fillId="0" borderId="26" xfId="0" applyNumberFormat="1" applyFont="1" applyFill="1" applyBorder="1" applyProtection="1"/>
    <xf numFmtId="4" fontId="10" fillId="0" borderId="26" xfId="0" applyNumberFormat="1" applyFont="1" applyBorder="1" applyProtection="1"/>
    <xf numFmtId="4" fontId="0" fillId="0" borderId="26" xfId="0" applyNumberFormat="1" applyFill="1" applyBorder="1" applyProtection="1"/>
    <xf numFmtId="4" fontId="10" fillId="4" borderId="26" xfId="0" applyNumberFormat="1" applyFont="1" applyFill="1" applyBorder="1" applyProtection="1">
      <protection locked="0"/>
    </xf>
    <xf numFmtId="4" fontId="11" fillId="0" borderId="26" xfId="0" applyNumberFormat="1" applyFont="1" applyFill="1" applyBorder="1" applyProtection="1"/>
    <xf numFmtId="4" fontId="25" fillId="0" borderId="36" xfId="0" applyNumberFormat="1" applyFont="1" applyFill="1" applyBorder="1" applyProtection="1"/>
    <xf numFmtId="4" fontId="9" fillId="0" borderId="123" xfId="0" applyNumberFormat="1" applyFont="1" applyFill="1" applyBorder="1" applyProtection="1"/>
    <xf numFmtId="4" fontId="1" fillId="0" borderId="36" xfId="0" applyNumberFormat="1" applyFont="1" applyFill="1" applyBorder="1" applyProtection="1"/>
    <xf numFmtId="4" fontId="18" fillId="0" borderId="13" xfId="0" applyNumberFormat="1" applyFont="1" applyFill="1" applyBorder="1" applyProtection="1"/>
    <xf numFmtId="3" fontId="16" fillId="6" borderId="89" xfId="0" applyNumberFormat="1" applyFont="1" applyFill="1" applyBorder="1" applyAlignment="1" applyProtection="1">
      <alignment horizontal="center"/>
    </xf>
    <xf numFmtId="4" fontId="9" fillId="0" borderId="76" xfId="0" applyNumberFormat="1" applyFont="1" applyFill="1" applyBorder="1" applyProtection="1"/>
    <xf numFmtId="4" fontId="10" fillId="0" borderId="76" xfId="0" applyNumberFormat="1" applyFont="1" applyFill="1" applyBorder="1" applyProtection="1"/>
    <xf numFmtId="4" fontId="0" fillId="0" borderId="76" xfId="0" applyNumberFormat="1" applyBorder="1" applyProtection="1"/>
    <xf numFmtId="4" fontId="10" fillId="4" borderId="76" xfId="0" applyNumberFormat="1" applyFont="1" applyFill="1" applyBorder="1" applyProtection="1">
      <protection locked="0"/>
    </xf>
    <xf numFmtId="4" fontId="11" fillId="0" borderId="76" xfId="0" applyNumberFormat="1" applyFont="1" applyFill="1" applyBorder="1" applyProtection="1"/>
    <xf numFmtId="4" fontId="10" fillId="0" borderId="76" xfId="0" applyNumberFormat="1" applyFont="1" applyFill="1" applyBorder="1" applyProtection="1">
      <protection locked="0"/>
    </xf>
    <xf numFmtId="4" fontId="25" fillId="0" borderId="10" xfId="0" applyNumberFormat="1" applyFont="1" applyFill="1" applyBorder="1" applyProtection="1"/>
    <xf numFmtId="4" fontId="9" fillId="0" borderId="124" xfId="0" applyNumberFormat="1" applyFont="1" applyFill="1" applyBorder="1" applyProtection="1"/>
    <xf numFmtId="4" fontId="1" fillId="0" borderId="10" xfId="0" applyNumberFormat="1" applyFont="1" applyFill="1" applyBorder="1" applyProtection="1"/>
    <xf numFmtId="4" fontId="18" fillId="0" borderId="12" xfId="0" applyNumberFormat="1" applyFont="1" applyFill="1" applyBorder="1" applyProtection="1"/>
    <xf numFmtId="3" fontId="16" fillId="6" borderId="25" xfId="0" applyNumberFormat="1" applyFont="1" applyFill="1" applyBorder="1" applyAlignment="1" applyProtection="1">
      <alignment horizontal="center"/>
    </xf>
    <xf numFmtId="165" fontId="6" fillId="3" borderId="82" xfId="0" applyNumberFormat="1" applyFont="1" applyFill="1" applyBorder="1" applyAlignment="1" applyProtection="1">
      <alignment horizontal="center" vertical="center"/>
    </xf>
    <xf numFmtId="4" fontId="25" fillId="0" borderId="26" xfId="0" applyNumberFormat="1" applyFont="1" applyFill="1" applyBorder="1" applyProtection="1"/>
    <xf numFmtId="4" fontId="9" fillId="4" borderId="26" xfId="0" applyNumberFormat="1" applyFont="1" applyFill="1" applyBorder="1" applyProtection="1">
      <protection locked="0"/>
    </xf>
    <xf numFmtId="4" fontId="10" fillId="0" borderId="76" xfId="0" applyNumberFormat="1" applyFont="1" applyBorder="1" applyProtection="1"/>
    <xf numFmtId="4" fontId="0" fillId="0" borderId="95" xfId="0" applyNumberFormat="1" applyBorder="1" applyAlignment="1">
      <alignment vertical="center"/>
    </xf>
    <xf numFmtId="0" fontId="13" fillId="0" borderId="95" xfId="0" applyFont="1" applyFill="1" applyBorder="1" applyAlignment="1" applyProtection="1">
      <alignment vertical="center"/>
    </xf>
    <xf numFmtId="4" fontId="0" fillId="0" borderId="95" xfId="0" applyNumberFormat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125" xfId="0" applyFill="1" applyBorder="1" applyAlignment="1" applyProtection="1">
      <alignment vertical="center"/>
    </xf>
    <xf numFmtId="3" fontId="10" fillId="0" borderId="89" xfId="0" applyNumberFormat="1" applyFont="1" applyFill="1" applyBorder="1" applyAlignment="1" applyProtection="1">
      <alignment vertical="center"/>
    </xf>
    <xf numFmtId="4" fontId="9" fillId="0" borderId="76" xfId="0" applyNumberFormat="1" applyFont="1" applyFill="1" applyBorder="1" applyAlignment="1" applyProtection="1">
      <alignment vertical="center"/>
    </xf>
    <xf numFmtId="0" fontId="0" fillId="0" borderId="76" xfId="0" applyFill="1" applyBorder="1" applyAlignment="1" applyProtection="1">
      <alignment vertical="center"/>
    </xf>
    <xf numFmtId="4" fontId="0" fillId="0" borderId="92" xfId="0" applyNumberFormat="1" applyBorder="1" applyAlignment="1" applyProtection="1">
      <alignment vertical="center"/>
      <protection locked="0"/>
    </xf>
    <xf numFmtId="4" fontId="0" fillId="0" borderId="37" xfId="0" applyNumberFormat="1" applyBorder="1" applyAlignment="1" applyProtection="1">
      <alignment vertical="center"/>
      <protection locked="0"/>
    </xf>
    <xf numFmtId="0" fontId="29" fillId="0" borderId="85" xfId="16" applyFont="1" applyBorder="1" applyAlignment="1">
      <alignment horizontal="left" vertical="center"/>
    </xf>
    <xf numFmtId="0" fontId="28" fillId="0" borderId="85" xfId="16" applyBorder="1" applyAlignment="1">
      <alignment horizontal="left"/>
    </xf>
    <xf numFmtId="0" fontId="29" fillId="0" borderId="0" xfId="16" applyFont="1" applyAlignment="1">
      <alignment horizontal="center" vertical="center"/>
    </xf>
    <xf numFmtId="3" fontId="29" fillId="0" borderId="85" xfId="16" applyNumberFormat="1" applyFont="1" applyBorder="1" applyAlignment="1">
      <alignment horizontal="left" vertical="center"/>
    </xf>
    <xf numFmtId="0" fontId="28" fillId="0" borderId="85" xfId="16" applyBorder="1" applyAlignment="1">
      <alignment horizontal="left" vertical="center"/>
    </xf>
    <xf numFmtId="0" fontId="28" fillId="0" borderId="0" xfId="16" applyBorder="1" applyAlignment="1">
      <alignment horizontal="left" vertical="center"/>
    </xf>
    <xf numFmtId="0" fontId="28" fillId="0" borderId="0" xfId="16" applyBorder="1" applyAlignment="1">
      <alignment horizontal="left"/>
    </xf>
    <xf numFmtId="3" fontId="8" fillId="0" borderId="0" xfId="15" applyNumberFormat="1" applyFont="1" applyAlignment="1">
      <alignment horizontal="center"/>
    </xf>
    <xf numFmtId="3" fontId="3" fillId="0" borderId="28" xfId="15" applyNumberFormat="1" applyFont="1" applyBorder="1" applyAlignment="1">
      <alignment horizontal="left" vertical="center" wrapText="1" indent="3"/>
    </xf>
    <xf numFmtId="3" fontId="3" fillId="0" borderId="45" xfId="15" applyNumberFormat="1" applyFont="1" applyBorder="1" applyAlignment="1">
      <alignment horizontal="left" vertical="center" wrapText="1" indent="3"/>
    </xf>
    <xf numFmtId="3" fontId="3" fillId="0" borderId="28" xfId="15" applyNumberFormat="1" applyFont="1" applyBorder="1" applyAlignment="1">
      <alignment horizontal="center" vertical="center" wrapText="1"/>
    </xf>
    <xf numFmtId="3" fontId="3" fillId="0" borderId="45" xfId="15" applyNumberFormat="1" applyFont="1" applyBorder="1" applyAlignment="1">
      <alignment horizontal="center" vertical="center" wrapText="1"/>
    </xf>
    <xf numFmtId="3" fontId="6" fillId="3" borderId="121" xfId="15" applyNumberFormat="1" applyFont="1" applyFill="1" applyBorder="1" applyAlignment="1">
      <alignment horizontal="center" vertical="center"/>
    </xf>
    <xf numFmtId="3" fontId="6" fillId="3" borderId="122" xfId="15" applyNumberFormat="1" applyFont="1" applyFill="1" applyBorder="1" applyAlignment="1">
      <alignment horizontal="center" vertical="center"/>
    </xf>
    <xf numFmtId="3" fontId="6" fillId="0" borderId="101" xfId="15" applyNumberFormat="1" applyFont="1" applyBorder="1" applyAlignment="1">
      <alignment horizontal="center" vertical="center" wrapText="1"/>
    </xf>
    <xf numFmtId="3" fontId="6" fillId="0" borderId="103" xfId="15" applyNumberFormat="1" applyFont="1" applyBorder="1" applyAlignment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14" fontId="6" fillId="3" borderId="18" xfId="0" applyNumberFormat="1" applyFont="1" applyFill="1" applyBorder="1" applyAlignment="1" applyProtection="1">
      <alignment horizontal="center" vertical="center" wrapText="1"/>
    </xf>
    <xf numFmtId="14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8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/>
    </xf>
    <xf numFmtId="3" fontId="26" fillId="0" borderId="0" xfId="0" applyNumberFormat="1" applyFont="1" applyAlignment="1" applyProtection="1">
      <alignment horizontal="center" vertical="center"/>
    </xf>
    <xf numFmtId="3" fontId="25" fillId="0" borderId="0" xfId="0" applyNumberFormat="1" applyFont="1" applyAlignment="1" applyProtection="1">
      <alignment horizontal="center" vertical="center"/>
      <protection locked="0"/>
    </xf>
    <xf numFmtId="3" fontId="25" fillId="0" borderId="10" xfId="0" applyNumberFormat="1" applyFont="1" applyBorder="1" applyAlignment="1" applyProtection="1">
      <alignment horizontal="center" vertical="center"/>
      <protection locked="0"/>
    </xf>
    <xf numFmtId="3" fontId="26" fillId="0" borderId="10" xfId="0" applyNumberFormat="1" applyFont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left" vertical="center"/>
    </xf>
    <xf numFmtId="4" fontId="2" fillId="0" borderId="27" xfId="0" applyNumberFormat="1" applyFon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center" vertical="center"/>
    </xf>
    <xf numFmtId="3" fontId="11" fillId="0" borderId="34" xfId="0" applyNumberFormat="1" applyFont="1" applyBorder="1" applyAlignment="1" applyProtection="1">
      <alignment horizontal="center" vertical="center"/>
    </xf>
    <xf numFmtId="4" fontId="10" fillId="5" borderId="35" xfId="0" applyNumberFormat="1" applyFont="1" applyFill="1" applyBorder="1" applyAlignment="1" applyProtection="1">
      <alignment horizontal="center" vertical="center"/>
    </xf>
    <xf numFmtId="4" fontId="10" fillId="5" borderId="34" xfId="0" applyNumberFormat="1" applyFont="1" applyFill="1" applyBorder="1" applyAlignment="1" applyProtection="1">
      <alignment horizontal="center" vertical="center"/>
    </xf>
    <xf numFmtId="3" fontId="10" fillId="5" borderId="69" xfId="0" applyNumberFormat="1" applyFont="1" applyFill="1" applyBorder="1" applyAlignment="1" applyProtection="1">
      <alignment horizontal="center" vertical="center"/>
    </xf>
    <xf numFmtId="3" fontId="10" fillId="5" borderId="70" xfId="0" applyNumberFormat="1" applyFont="1" applyFill="1" applyBorder="1" applyAlignment="1" applyProtection="1">
      <alignment horizontal="center" vertical="center"/>
    </xf>
    <xf numFmtId="0" fontId="6" fillId="3" borderId="110" xfId="0" applyFont="1" applyFill="1" applyBorder="1" applyAlignment="1" applyProtection="1">
      <alignment horizontal="center" vertical="center"/>
    </xf>
    <xf numFmtId="0" fontId="6" fillId="3" borderId="111" xfId="0" applyFont="1" applyFill="1" applyBorder="1" applyAlignment="1" applyProtection="1">
      <alignment horizontal="center" vertical="center"/>
    </xf>
    <xf numFmtId="0" fontId="6" fillId="3" borderId="64" xfId="11" applyFont="1" applyFill="1" applyBorder="1" applyAlignment="1">
      <alignment horizontal="center" vertical="center"/>
    </xf>
    <xf numFmtId="0" fontId="6" fillId="3" borderId="47" xfId="11" applyFont="1" applyFill="1" applyBorder="1" applyAlignment="1">
      <alignment horizontal="center" vertical="center"/>
    </xf>
    <xf numFmtId="0" fontId="6" fillId="3" borderId="65" xfId="11" applyFont="1" applyFill="1" applyBorder="1" applyAlignment="1">
      <alignment horizontal="center" vertical="center"/>
    </xf>
  </cellXfs>
  <cellStyles count="18">
    <cellStyle name="EMVS1" xfId="1"/>
    <cellStyle name="EMVS2" xfId="2"/>
    <cellStyle name="Euro" xfId="3"/>
    <cellStyle name="Millares [0] 2" xfId="4"/>
    <cellStyle name="Millares 2" xfId="5"/>
    <cellStyle name="Moneda 2" xfId="6"/>
    <cellStyle name="Moneda 2 2" xfId="7"/>
    <cellStyle name="Moneda 2 2 2" xfId="8"/>
    <cellStyle name="Moneda 2 3" xfId="9"/>
    <cellStyle name="Normal" xfId="0" builtinId="0"/>
    <cellStyle name="Normal 2" xfId="10"/>
    <cellStyle name="Normal 2 2" xfId="11"/>
    <cellStyle name="Normal 2 3" xfId="12"/>
    <cellStyle name="Normal 3" xfId="13"/>
    <cellStyle name="Normal 4" xfId="14"/>
    <cellStyle name="Normal_Administrativo empresa a empresa" xfId="15"/>
    <cellStyle name="Normal_cuadro" xfId="16"/>
    <cellStyle name="Porcentaje 2" xfId="17"/>
  </cellStyles>
  <dxfs count="10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%20Control%20Auditoria\J%20S%20Control%20Financiero%20Empresas\EMPRESAS\CUADROS\PRESUPUESTO\PLANTILLAS_%20PPTO%202013\Libro%20Presupuesto%20para%20Informaci&#243;n%20IGA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gg004\Mis%20documentos\Libro%20Presupuesto%20para%20Informaci&#243;n%20IGA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9"/>
      <sheetData sheetId="10"/>
      <sheetData sheetId="11" refreshError="1"/>
      <sheetData sheetId="12"/>
      <sheetData sheetId="1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32"/>
  <sheetViews>
    <sheetView zoomScaleNormal="100" workbookViewId="0">
      <selection sqref="A1:D1"/>
    </sheetView>
  </sheetViews>
  <sheetFormatPr baseColWidth="10" defaultColWidth="12.5703125" defaultRowHeight="15" x14ac:dyDescent="0.3"/>
  <cols>
    <col min="1" max="1" width="38.28515625" style="162" customWidth="1"/>
    <col min="2" max="3" width="20.7109375" style="162" customWidth="1"/>
    <col min="4" max="4" width="13" style="162" customWidth="1"/>
    <col min="5" max="16384" width="12.5703125" style="162"/>
  </cols>
  <sheetData>
    <row r="1" spans="1:4" x14ac:dyDescent="0.3">
      <c r="A1" s="593"/>
      <c r="B1" s="593"/>
      <c r="C1" s="593"/>
      <c r="D1" s="593"/>
    </row>
    <row r="2" spans="1:4" x14ac:dyDescent="0.3">
      <c r="A2" s="163" t="str">
        <f>BAL!D5</f>
        <v>SOCIEDAD: EMPRESA MUNICIPAL DE LA VIVIENDA Y SUELO DE MADRID S.A.</v>
      </c>
      <c r="B2" s="164"/>
    </row>
    <row r="3" spans="1:4" ht="16.5" x14ac:dyDescent="0.35">
      <c r="A3" s="161"/>
      <c r="B3" s="161"/>
      <c r="C3" s="211" t="s">
        <v>387</v>
      </c>
      <c r="D3" s="165" t="s">
        <v>359</v>
      </c>
    </row>
    <row r="4" spans="1:4" ht="15.75" thickBot="1" x14ac:dyDescent="0.35">
      <c r="A4" s="591" t="s">
        <v>360</v>
      </c>
      <c r="B4" s="592"/>
      <c r="C4" s="592"/>
      <c r="D4" s="592"/>
    </row>
    <row r="5" spans="1:4" ht="16.5" thickTop="1" thickBot="1" x14ac:dyDescent="0.35">
      <c r="A5" s="166"/>
      <c r="B5" s="231" t="e">
        <f>BAL!#REF!</f>
        <v>#REF!</v>
      </c>
      <c r="C5" s="236" t="s">
        <v>393</v>
      </c>
      <c r="D5" s="232" t="s">
        <v>361</v>
      </c>
    </row>
    <row r="6" spans="1:4" ht="15.75" thickTop="1" x14ac:dyDescent="0.3">
      <c r="A6" s="241" t="s">
        <v>354</v>
      </c>
      <c r="B6" s="214" t="e">
        <f>PyG!#REF!</f>
        <v>#REF!</v>
      </c>
      <c r="C6" s="220">
        <f>PyG!D86</f>
        <v>4091587.3599999947</v>
      </c>
      <c r="D6" s="233" t="e">
        <f t="shared" ref="D6:D11" si="0">IF(C6=0,"",B6/C6)</f>
        <v>#REF!</v>
      </c>
    </row>
    <row r="7" spans="1:4" x14ac:dyDescent="0.3">
      <c r="A7" s="168" t="s">
        <v>344</v>
      </c>
      <c r="B7" s="215" t="e">
        <f>PyG!#REF!</f>
        <v>#REF!</v>
      </c>
      <c r="C7" s="222">
        <f>PyG!D101</f>
        <v>174709175.69999999</v>
      </c>
      <c r="D7" s="234" t="e">
        <f t="shared" si="0"/>
        <v>#REF!</v>
      </c>
    </row>
    <row r="8" spans="1:4" x14ac:dyDescent="0.3">
      <c r="A8" s="168" t="s">
        <v>345</v>
      </c>
      <c r="B8" s="215" t="e">
        <f>PyG!#REF!</f>
        <v>#REF!</v>
      </c>
      <c r="C8" s="222">
        <f>PyG!D102</f>
        <v>-170617588.34</v>
      </c>
      <c r="D8" s="234" t="e">
        <f t="shared" si="0"/>
        <v>#REF!</v>
      </c>
    </row>
    <row r="9" spans="1:4" x14ac:dyDescent="0.3">
      <c r="A9" s="168" t="s">
        <v>362</v>
      </c>
      <c r="B9" s="215" t="e">
        <f>PyG!#REF!</f>
        <v>#REF!</v>
      </c>
      <c r="C9" s="222">
        <f>PyG!D13</f>
        <v>15831507.83</v>
      </c>
      <c r="D9" s="234" t="e">
        <f t="shared" si="0"/>
        <v>#REF!</v>
      </c>
    </row>
    <row r="10" spans="1:4" x14ac:dyDescent="0.3">
      <c r="A10" s="168" t="s">
        <v>363</v>
      </c>
      <c r="B10" s="215" t="e">
        <f>PyG!#REF!+PyG!#REF!</f>
        <v>#REF!</v>
      </c>
      <c r="C10" s="222">
        <f>PyG!D35+PyG!D36</f>
        <v>54507561.129999995</v>
      </c>
      <c r="D10" s="234" t="e">
        <f t="shared" si="0"/>
        <v>#REF!</v>
      </c>
    </row>
    <row r="11" spans="1:4" ht="15.75" thickBot="1" x14ac:dyDescent="0.35">
      <c r="A11" s="171" t="s">
        <v>364</v>
      </c>
      <c r="B11" s="216" t="e">
        <f>PyG!#REF!-PyG!#REF!</f>
        <v>#REF!</v>
      </c>
      <c r="C11" s="223">
        <f>PyG!D86-PyG!D46</f>
        <v>20093998.899999995</v>
      </c>
      <c r="D11" s="235" t="e">
        <f t="shared" si="0"/>
        <v>#REF!</v>
      </c>
    </row>
    <row r="12" spans="1:4" ht="15.75" thickTop="1" x14ac:dyDescent="0.3">
      <c r="A12" s="173"/>
      <c r="B12" s="174"/>
      <c r="C12" s="174"/>
      <c r="D12" s="175"/>
    </row>
    <row r="13" spans="1:4" ht="15.75" thickBot="1" x14ac:dyDescent="0.35">
      <c r="A13" s="594" t="s">
        <v>365</v>
      </c>
      <c r="B13" s="595"/>
      <c r="C13" s="595"/>
      <c r="D13" s="596"/>
    </row>
    <row r="14" spans="1:4" ht="16.5" thickTop="1" thickBot="1" x14ac:dyDescent="0.35">
      <c r="A14" s="218"/>
      <c r="B14" s="219" t="e">
        <f>B5</f>
        <v>#REF!</v>
      </c>
      <c r="C14" s="236" t="str">
        <f>C5</f>
        <v>PRESUPUESTO 2015</v>
      </c>
      <c r="D14" s="217"/>
    </row>
    <row r="15" spans="1:4" ht="15.75" thickTop="1" x14ac:dyDescent="0.3">
      <c r="A15" s="241" t="s">
        <v>366</v>
      </c>
      <c r="B15" s="167" t="e">
        <f>BAL!#REF!+BAL!#REF!</f>
        <v>#REF!</v>
      </c>
      <c r="C15" s="220">
        <f>BAL!K43+BAL!K55</f>
        <v>0</v>
      </c>
      <c r="D15" s="170"/>
    </row>
    <row r="16" spans="1:4" x14ac:dyDescent="0.3">
      <c r="A16" s="168" t="s">
        <v>367</v>
      </c>
      <c r="B16" s="169" t="e">
        <f>BAL!#REF!</f>
        <v>#REF!</v>
      </c>
      <c r="C16" s="221">
        <f>BAL!F70</f>
        <v>1106806721.9200001</v>
      </c>
      <c r="D16" s="170"/>
    </row>
    <row r="17" spans="1:4" x14ac:dyDescent="0.3">
      <c r="A17" s="168" t="s">
        <v>368</v>
      </c>
      <c r="B17" s="169" t="e">
        <f>BAL!#REF!</f>
        <v>#REF!</v>
      </c>
      <c r="C17" s="222">
        <f>BAL!F58</f>
        <v>121856813.90999997</v>
      </c>
      <c r="D17" s="170"/>
    </row>
    <row r="18" spans="1:4" ht="15.75" thickBot="1" x14ac:dyDescent="0.35">
      <c r="A18" s="171" t="s">
        <v>369</v>
      </c>
      <c r="B18" s="172" t="e">
        <f>BAL!#REF!-BAL!#REF!</f>
        <v>#REF!</v>
      </c>
      <c r="C18" s="223">
        <f>BAL!F33-BAL!K51</f>
        <v>190447135.50999999</v>
      </c>
      <c r="D18" s="170"/>
    </row>
    <row r="19" spans="1:4" ht="15.75" thickTop="1" x14ac:dyDescent="0.3">
      <c r="A19" s="176"/>
      <c r="B19" s="176"/>
      <c r="C19" s="176"/>
      <c r="D19" s="176"/>
    </row>
    <row r="20" spans="1:4" ht="15.75" thickBot="1" x14ac:dyDescent="0.35">
      <c r="A20" s="591" t="s">
        <v>370</v>
      </c>
      <c r="B20" s="592"/>
      <c r="C20" s="592"/>
      <c r="D20" s="597"/>
    </row>
    <row r="21" spans="1:4" ht="16.5" thickTop="1" thickBot="1" x14ac:dyDescent="0.35">
      <c r="A21" s="213"/>
      <c r="B21" s="229" t="e">
        <f>B5</f>
        <v>#REF!</v>
      </c>
      <c r="C21" s="242" t="str">
        <f>C14</f>
        <v>PRESUPUESTO 2015</v>
      </c>
      <c r="D21" s="226"/>
    </row>
    <row r="22" spans="1:4" ht="15.75" thickTop="1" x14ac:dyDescent="0.3">
      <c r="A22" s="227" t="s">
        <v>371</v>
      </c>
      <c r="B22" s="222" t="e">
        <f>EFE!#REF!</f>
        <v>#REF!</v>
      </c>
      <c r="C22" s="224">
        <f>EFE!C39</f>
        <v>20580865.689999994</v>
      </c>
      <c r="D22" s="170"/>
    </row>
    <row r="23" spans="1:4" x14ac:dyDescent="0.3">
      <c r="A23" s="168" t="s">
        <v>372</v>
      </c>
      <c r="B23" s="222" t="e">
        <f>EFE!#REF!</f>
        <v>#REF!</v>
      </c>
      <c r="C23" s="177">
        <f>EFE!C56</f>
        <v>-94915106.739999995</v>
      </c>
      <c r="D23" s="170"/>
    </row>
    <row r="24" spans="1:4" x14ac:dyDescent="0.3">
      <c r="A24" s="168" t="s">
        <v>373</v>
      </c>
      <c r="B24" s="222" t="e">
        <f>EFE!#REF!</f>
        <v>#REF!</v>
      </c>
      <c r="C24" s="225">
        <f>EFE!C75</f>
        <v>74388320.599999994</v>
      </c>
      <c r="D24" s="170"/>
    </row>
    <row r="25" spans="1:4" ht="15.75" thickBot="1" x14ac:dyDescent="0.35">
      <c r="A25" s="228" t="s">
        <v>374</v>
      </c>
      <c r="B25" s="230" t="e">
        <f>EFE!#REF!</f>
        <v>#REF!</v>
      </c>
      <c r="C25" s="178">
        <f>EFE!C79</f>
        <v>54079.54999999702</v>
      </c>
      <c r="D25" s="170"/>
    </row>
    <row r="26" spans="1:4" ht="15.75" thickTop="1" x14ac:dyDescent="0.3"/>
    <row r="27" spans="1:4" ht="15.75" thickBot="1" x14ac:dyDescent="0.35">
      <c r="A27" s="591" t="s">
        <v>388</v>
      </c>
      <c r="B27" s="592"/>
      <c r="C27" s="592"/>
      <c r="D27" s="592"/>
    </row>
    <row r="28" spans="1:4" ht="16.5" thickTop="1" thickBot="1" x14ac:dyDescent="0.35">
      <c r="A28" s="166"/>
      <c r="B28" s="231" t="e">
        <f>B5</f>
        <v>#REF!</v>
      </c>
      <c r="C28" s="236" t="str">
        <f>C21</f>
        <v>PRESUPUESTO 2015</v>
      </c>
      <c r="D28" s="232" t="s">
        <v>361</v>
      </c>
    </row>
    <row r="29" spans="1:4" ht="15.75" thickTop="1" x14ac:dyDescent="0.3">
      <c r="A29" s="241" t="s">
        <v>391</v>
      </c>
      <c r="B29" s="214" t="e">
        <f>PRESUPUESTO!E83</f>
        <v>#REF!</v>
      </c>
      <c r="C29" s="220">
        <f>PRESUPUESTO!D83</f>
        <v>0.16999998688697815</v>
      </c>
      <c r="D29" s="233" t="e">
        <f>IF(C29=0,"",B29/C29)</f>
        <v>#REF!</v>
      </c>
    </row>
    <row r="30" spans="1:4" x14ac:dyDescent="0.3">
      <c r="A30" s="168" t="s">
        <v>344</v>
      </c>
      <c r="B30" s="215" t="e">
        <f>PRESUPUESTO!E39</f>
        <v>#REF!</v>
      </c>
      <c r="C30" s="222">
        <f>PRESUPUESTO!D39</f>
        <v>89553733.319999993</v>
      </c>
      <c r="D30" s="234" t="e">
        <f>IF(C30=0,"",B30/C30)</f>
        <v>#REF!</v>
      </c>
    </row>
    <row r="31" spans="1:4" ht="15.75" thickBot="1" x14ac:dyDescent="0.35">
      <c r="A31" s="171" t="s">
        <v>345</v>
      </c>
      <c r="B31" s="216" t="e">
        <f>PRESUPUESTO!E78</f>
        <v>#REF!</v>
      </c>
      <c r="C31" s="223">
        <f>PRESUPUESTO!D78</f>
        <v>89553733.150000006</v>
      </c>
      <c r="D31" s="235" t="e">
        <f>IF(C31=0,"",B31/C31)</f>
        <v>#REF!</v>
      </c>
    </row>
    <row r="32" spans="1:4" ht="15.75" thickTop="1" x14ac:dyDescent="0.3"/>
  </sheetData>
  <sheetProtection password="CE88" sheet="1" objects="1" scenarios="1"/>
  <mergeCells count="5">
    <mergeCell ref="A27:D27"/>
    <mergeCell ref="A1:D1"/>
    <mergeCell ref="A4:D4"/>
    <mergeCell ref="A13:D13"/>
    <mergeCell ref="A20:D20"/>
  </mergeCells>
  <phoneticPr fontId="28" type="noConversion"/>
  <conditionalFormatting sqref="E1:IV1048576 C1:D1 C3:D26 A1:B26 A27:D65536">
    <cfRule type="cellIs" dxfId="9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" footer="0"/>
  <pageSetup paperSize="9" scale="9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I35"/>
  <sheetViews>
    <sheetView zoomScaleNormal="100" zoomScaleSheetLayoutView="100" workbookViewId="0"/>
  </sheetViews>
  <sheetFormatPr baseColWidth="10" defaultRowHeight="12.75" x14ac:dyDescent="0.2"/>
  <cols>
    <col min="1" max="1" width="16" style="179" customWidth="1"/>
    <col min="2" max="2" width="15.7109375" style="179" customWidth="1"/>
    <col min="3" max="5" width="15.7109375" style="181" customWidth="1"/>
    <col min="6" max="6" width="1.5703125" style="181" customWidth="1"/>
    <col min="7" max="9" width="15.7109375" style="179" customWidth="1"/>
    <col min="10" max="16384" width="11.42578125" style="179"/>
  </cols>
  <sheetData>
    <row r="3" spans="1:9" ht="20.25" customHeight="1" x14ac:dyDescent="0.2">
      <c r="B3" s="180" t="s">
        <v>375</v>
      </c>
      <c r="D3" s="182"/>
      <c r="H3" s="180"/>
    </row>
    <row r="5" spans="1:9" s="183" customFormat="1" ht="24" x14ac:dyDescent="0.2">
      <c r="B5" s="184" t="s">
        <v>369</v>
      </c>
      <c r="C5" s="185" t="s">
        <v>376</v>
      </c>
      <c r="D5" s="185" t="s">
        <v>377</v>
      </c>
      <c r="E5" s="186" t="s">
        <v>378</v>
      </c>
      <c r="F5" s="185"/>
      <c r="G5" s="184" t="s">
        <v>364</v>
      </c>
      <c r="H5" s="185" t="s">
        <v>379</v>
      </c>
      <c r="I5" s="186" t="s">
        <v>380</v>
      </c>
    </row>
    <row r="6" spans="1:9" s="187" customFormat="1" ht="21" customHeight="1" x14ac:dyDescent="0.2">
      <c r="A6" s="187" t="s">
        <v>386</v>
      </c>
      <c r="B6" s="188" t="e">
        <f>BAL!#REF!-BAL!#REF!</f>
        <v>#REF!</v>
      </c>
      <c r="C6" s="189" t="e">
        <f>BAL!#REF!/BAL!#REF!</f>
        <v>#REF!</v>
      </c>
      <c r="D6" s="189" t="e">
        <f>BAL!#REF!/(BAL!#REF!+BAL!#REF!)</f>
        <v>#REF!</v>
      </c>
      <c r="E6" s="190" t="e">
        <f>(BAL!#REF!+BAL!#REF!)/BAL!#REF!</f>
        <v>#REF!</v>
      </c>
      <c r="F6" s="189"/>
      <c r="G6" s="191" t="e">
        <f>PyG!#REF!-PyG!#REF!</f>
        <v>#REF!</v>
      </c>
      <c r="H6" s="192" t="e">
        <f>PyG!#REF!/PyG!#REF!</f>
        <v>#REF!</v>
      </c>
      <c r="I6" s="193" t="e">
        <f>(PyG!#REF!+PyG!#REF!)/PyG!#REF!</f>
        <v>#REF!</v>
      </c>
    </row>
    <row r="7" spans="1:9" s="194" customFormat="1" ht="18" customHeight="1" x14ac:dyDescent="0.2"/>
    <row r="8" spans="1:9" s="194" customFormat="1" ht="21" customHeight="1" x14ac:dyDescent="0.2"/>
    <row r="9" spans="1:9" s="194" customFormat="1" ht="18" customHeight="1" x14ac:dyDescent="0.2"/>
    <row r="10" spans="1:9" s="194" customFormat="1" ht="18" customHeight="1" x14ac:dyDescent="0.2"/>
    <row r="11" spans="1:9" s="194" customFormat="1" ht="18" customHeight="1" x14ac:dyDescent="0.2"/>
    <row r="13" spans="1:9" s="194" customFormat="1" x14ac:dyDescent="0.2">
      <c r="C13" s="187"/>
      <c r="D13" s="187"/>
      <c r="E13" s="187"/>
      <c r="F13" s="187"/>
    </row>
    <row r="15" spans="1:9" s="187" customFormat="1" ht="21" customHeight="1" x14ac:dyDescent="0.2"/>
    <row r="16" spans="1:9" s="194" customFormat="1" ht="18" customHeight="1" x14ac:dyDescent="0.2"/>
    <row r="17" spans="3:6" s="194" customFormat="1" ht="18" customHeight="1" x14ac:dyDescent="0.2"/>
    <row r="18" spans="3:6" s="194" customFormat="1" ht="18" customHeight="1" x14ac:dyDescent="0.2"/>
    <row r="19" spans="3:6" s="194" customFormat="1" ht="18" customHeight="1" x14ac:dyDescent="0.2"/>
    <row r="20" spans="3:6" s="194" customFormat="1" ht="21" customHeight="1" x14ac:dyDescent="0.2"/>
    <row r="21" spans="3:6" s="194" customFormat="1" ht="18" customHeight="1" x14ac:dyDescent="0.2"/>
    <row r="22" spans="3:6" s="194" customFormat="1" ht="18" customHeight="1" x14ac:dyDescent="0.2"/>
    <row r="23" spans="3:6" s="194" customFormat="1" ht="18" customHeight="1" x14ac:dyDescent="0.2"/>
    <row r="25" spans="3:6" s="194" customFormat="1" x14ac:dyDescent="0.2">
      <c r="C25" s="187"/>
      <c r="D25" s="187"/>
      <c r="E25" s="187"/>
      <c r="F25" s="187"/>
    </row>
    <row r="27" spans="3:6" s="187" customFormat="1" ht="21" customHeight="1" x14ac:dyDescent="0.2"/>
    <row r="28" spans="3:6" s="194" customFormat="1" ht="18" customHeight="1" x14ac:dyDescent="0.2"/>
    <row r="29" spans="3:6" s="194" customFormat="1" ht="18" customHeight="1" x14ac:dyDescent="0.2"/>
    <row r="30" spans="3:6" s="194" customFormat="1" ht="18" customHeight="1" x14ac:dyDescent="0.2"/>
    <row r="31" spans="3:6" s="194" customFormat="1" ht="18" customHeight="1" x14ac:dyDescent="0.2"/>
    <row r="32" spans="3:6" s="194" customFormat="1" ht="21" customHeight="1" x14ac:dyDescent="0.2"/>
    <row r="33" s="194" customFormat="1" ht="18" customHeight="1" x14ac:dyDescent="0.2"/>
    <row r="34" s="194" customFormat="1" ht="18" customHeight="1" x14ac:dyDescent="0.2"/>
    <row r="35" s="194" customFormat="1" ht="18" customHeight="1" x14ac:dyDescent="0.2"/>
  </sheetData>
  <sheetProtection password="CE88" sheet="1" objects="1" scenarios="1"/>
  <phoneticPr fontId="0" type="noConversion"/>
  <printOptions horizontalCentered="1" verticalCentered="1"/>
  <pageMargins left="0.78740157480314965" right="0.39370078740157483" top="1" bottom="1" header="0" footer="0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I83"/>
  <sheetViews>
    <sheetView zoomScaleNormal="100" workbookViewId="0">
      <selection activeCell="E63" sqref="E63"/>
    </sheetView>
  </sheetViews>
  <sheetFormatPr baseColWidth="10" defaultRowHeight="12.75" x14ac:dyDescent="0.2"/>
  <cols>
    <col min="1" max="1" width="4.5703125" style="2" customWidth="1"/>
    <col min="2" max="2" width="5.7109375" style="2" customWidth="1"/>
    <col min="3" max="3" width="44.42578125" style="2" customWidth="1"/>
    <col min="4" max="6" width="20.7109375" style="2" customWidth="1"/>
    <col min="7" max="7" width="13" style="3" customWidth="1"/>
    <col min="8" max="16384" width="11.42578125" style="2"/>
  </cols>
  <sheetData>
    <row r="2" spans="2:7" ht="18" customHeight="1" x14ac:dyDescent="0.25">
      <c r="B2" s="598" t="s">
        <v>394</v>
      </c>
      <c r="C2" s="598"/>
      <c r="D2" s="598"/>
      <c r="E2" s="598"/>
      <c r="F2" s="598"/>
      <c r="G2" s="598"/>
    </row>
    <row r="3" spans="2:7" ht="18" customHeight="1" x14ac:dyDescent="0.25">
      <c r="B3" s="1"/>
    </row>
    <row r="4" spans="2:7" ht="18" customHeight="1" x14ac:dyDescent="0.25">
      <c r="B4" s="1"/>
    </row>
    <row r="5" spans="2:7" ht="18" customHeight="1" x14ac:dyDescent="0.25">
      <c r="B5" s="1" t="str">
        <f>BAL!D5</f>
        <v>SOCIEDAD: EMPRESA MUNICIPAL DE LA VIVIENDA Y SUELO DE MADRID S.A.</v>
      </c>
      <c r="D5" s="4"/>
      <c r="E5" s="4"/>
      <c r="F5" s="4"/>
    </row>
    <row r="6" spans="2:7" ht="5.25" customHeight="1" thickBot="1" x14ac:dyDescent="0.3">
      <c r="C6" s="4"/>
      <c r="D6" s="4"/>
      <c r="E6" s="4"/>
      <c r="F6" s="4"/>
    </row>
    <row r="7" spans="2:7" ht="30" customHeight="1" x14ac:dyDescent="0.2">
      <c r="B7" s="603" t="s">
        <v>0</v>
      </c>
      <c r="C7" s="604"/>
      <c r="D7" s="243" t="s">
        <v>395</v>
      </c>
      <c r="E7" s="207" t="s">
        <v>402</v>
      </c>
      <c r="F7" s="243" t="s">
        <v>381</v>
      </c>
      <c r="G7" s="244" t="s">
        <v>361</v>
      </c>
    </row>
    <row r="8" spans="2:7" ht="20.100000000000001" customHeight="1" x14ac:dyDescent="0.2">
      <c r="B8" s="12">
        <v>1</v>
      </c>
      <c r="C8" s="8" t="s">
        <v>8</v>
      </c>
      <c r="D8" s="18">
        <v>0</v>
      </c>
      <c r="E8" s="38"/>
      <c r="F8" s="38"/>
      <c r="G8" s="19" t="str">
        <f>IF(D8=0,"",(E8-D8)/D8)</f>
        <v/>
      </c>
    </row>
    <row r="9" spans="2:7" ht="20.100000000000001" customHeight="1" x14ac:dyDescent="0.2">
      <c r="B9" s="12">
        <v>2</v>
      </c>
      <c r="C9" s="8" t="s">
        <v>9</v>
      </c>
      <c r="D9" s="18">
        <v>0</v>
      </c>
      <c r="E9" s="38"/>
      <c r="F9" s="38"/>
      <c r="G9" s="19" t="str">
        <f>IF(D9=0,"",(E9-D9)/D9)</f>
        <v/>
      </c>
    </row>
    <row r="10" spans="2:7" ht="20.100000000000001" customHeight="1" x14ac:dyDescent="0.2">
      <c r="B10" s="12">
        <v>3</v>
      </c>
      <c r="C10" s="8" t="s">
        <v>10</v>
      </c>
      <c r="D10" s="18">
        <v>0</v>
      </c>
      <c r="E10" s="38"/>
      <c r="F10" s="38"/>
      <c r="G10" s="19" t="str">
        <f>IF(D10=0,"",(E10-D10)/D10)</f>
        <v/>
      </c>
    </row>
    <row r="11" spans="2:7" ht="20.100000000000001" customHeight="1" x14ac:dyDescent="0.2">
      <c r="B11" s="12">
        <v>4</v>
      </c>
      <c r="C11" s="8" t="s">
        <v>11</v>
      </c>
      <c r="D11" s="18">
        <v>55502121.32</v>
      </c>
      <c r="E11" s="38" t="e">
        <f>SUM(E12:E13)</f>
        <v>#REF!</v>
      </c>
      <c r="F11" s="38">
        <f>SUM(F12:F13)</f>
        <v>56950631.440000005</v>
      </c>
      <c r="G11" s="19" t="e">
        <f>IF(D11=0,"",E11/D11)</f>
        <v>#REF!</v>
      </c>
    </row>
    <row r="12" spans="2:7" ht="18.75" customHeight="1" x14ac:dyDescent="0.2">
      <c r="B12" s="12"/>
      <c r="C12" s="57" t="s">
        <v>227</v>
      </c>
      <c r="D12" s="40"/>
      <c r="E12" s="45" t="e">
        <f>PyG!#REF!</f>
        <v>#REF!</v>
      </c>
      <c r="F12" s="45">
        <f>PyG!E35</f>
        <v>56269138.100000001</v>
      </c>
      <c r="G12" s="19"/>
    </row>
    <row r="13" spans="2:7" ht="18.75" customHeight="1" x14ac:dyDescent="0.2">
      <c r="B13" s="12"/>
      <c r="C13" s="57" t="s">
        <v>228</v>
      </c>
      <c r="D13" s="40"/>
      <c r="E13" s="45" t="e">
        <f>PyG!#REF!</f>
        <v>#REF!</v>
      </c>
      <c r="F13" s="45">
        <f>PyG!E36</f>
        <v>681493.34</v>
      </c>
      <c r="G13" s="19"/>
    </row>
    <row r="14" spans="2:7" ht="20.100000000000001" customHeight="1" x14ac:dyDescent="0.2">
      <c r="B14" s="13">
        <v>5</v>
      </c>
      <c r="C14" s="9" t="s">
        <v>12</v>
      </c>
      <c r="D14" s="18">
        <v>32601612</v>
      </c>
      <c r="E14" s="38" t="e">
        <f>SUM(E15:E19)</f>
        <v>#REF!</v>
      </c>
      <c r="F14" s="38" t="e">
        <f>SUM(F15:F19)</f>
        <v>#REF!</v>
      </c>
      <c r="G14" s="19" t="e">
        <f>IF(D14=0,"",E14/D14)</f>
        <v>#REF!</v>
      </c>
    </row>
    <row r="15" spans="2:7" ht="18.75" customHeight="1" x14ac:dyDescent="0.2">
      <c r="B15" s="17"/>
      <c r="C15" s="30" t="s">
        <v>97</v>
      </c>
      <c r="D15" s="40"/>
      <c r="E15" s="39" t="e">
        <f>PyG!#REF!-#REF!+#REF!+#REF!</f>
        <v>#REF!</v>
      </c>
      <c r="F15" s="39" t="e">
        <f>PyG!E13-#REF!+#REF!+#REF!</f>
        <v>#REF!</v>
      </c>
      <c r="G15" s="19"/>
    </row>
    <row r="16" spans="2:7" ht="18.75" customHeight="1" x14ac:dyDescent="0.2">
      <c r="B16" s="17"/>
      <c r="C16" s="30" t="s">
        <v>101</v>
      </c>
      <c r="D16" s="40"/>
      <c r="E16" s="39" t="e">
        <f>PyG!#REF!</f>
        <v>#REF!</v>
      </c>
      <c r="F16" s="39">
        <f>PyG!E27</f>
        <v>110015809.5</v>
      </c>
      <c r="G16" s="19"/>
    </row>
    <row r="17" spans="2:9" ht="18.75" customHeight="1" x14ac:dyDescent="0.2">
      <c r="B17" s="17"/>
      <c r="C17" s="57" t="s">
        <v>229</v>
      </c>
      <c r="D17" s="40"/>
      <c r="E17" s="39" t="e">
        <f>PyG!#REF!</f>
        <v>#REF!</v>
      </c>
      <c r="F17" s="39">
        <f>PyG!E34</f>
        <v>340877.68</v>
      </c>
      <c r="G17" s="19"/>
    </row>
    <row r="18" spans="2:9" ht="18.75" customHeight="1" x14ac:dyDescent="0.2">
      <c r="B18" s="17"/>
      <c r="C18" s="31" t="s">
        <v>230</v>
      </c>
      <c r="D18" s="40"/>
      <c r="E18" s="39" t="e">
        <f>PyG!#REF!-#REF!</f>
        <v>#REF!</v>
      </c>
      <c r="F18" s="39" t="e">
        <f>PyG!E56-#REF!</f>
        <v>#REF!</v>
      </c>
      <c r="G18" s="19"/>
    </row>
    <row r="19" spans="2:9" ht="18.75" customHeight="1" x14ac:dyDescent="0.2">
      <c r="B19" s="17"/>
      <c r="C19" s="31" t="s">
        <v>311</v>
      </c>
      <c r="D19" s="40"/>
      <c r="E19" s="39" t="e">
        <f>PyG!#REF!+PyG!#REF!</f>
        <v>#REF!</v>
      </c>
      <c r="F19" s="39">
        <f>PyG!E60+PyG!E63</f>
        <v>1940084.47</v>
      </c>
      <c r="G19" s="19"/>
    </row>
    <row r="20" spans="2:9" ht="20.100000000000001" customHeight="1" x14ac:dyDescent="0.2">
      <c r="B20" s="599" t="s">
        <v>13</v>
      </c>
      <c r="C20" s="600"/>
      <c r="D20" s="24">
        <f>D8+D9+D10+D11+D14</f>
        <v>88103733.319999993</v>
      </c>
      <c r="E20" s="25" t="e">
        <f>E8+E9+E10+E11+E14</f>
        <v>#REF!</v>
      </c>
      <c r="F20" s="25" t="e">
        <f>F8+F9+F10+F11+F14</f>
        <v>#REF!</v>
      </c>
      <c r="G20" s="20" t="e">
        <f>IF(D20=0,"",E20/D20)</f>
        <v>#REF!</v>
      </c>
      <c r="H20" s="5"/>
      <c r="I20" s="5"/>
    </row>
    <row r="21" spans="2:9" ht="20.100000000000001" customHeight="1" x14ac:dyDescent="0.2">
      <c r="B21" s="14">
        <v>6</v>
      </c>
      <c r="C21" s="10" t="s">
        <v>14</v>
      </c>
      <c r="D21" s="18">
        <v>0</v>
      </c>
      <c r="E21" s="38" t="e">
        <f>SUM(E22:E25)</f>
        <v>#REF!</v>
      </c>
      <c r="F21" s="38">
        <f>SUM(F22:F25)</f>
        <v>0</v>
      </c>
      <c r="G21" s="19" t="str">
        <f>IF(D21=0,"",E21/D21)</f>
        <v/>
      </c>
    </row>
    <row r="22" spans="2:9" ht="18.75" customHeight="1" x14ac:dyDescent="0.2">
      <c r="B22" s="32"/>
      <c r="C22" s="36" t="s">
        <v>312</v>
      </c>
      <c r="D22" s="40"/>
      <c r="E22" s="41" t="e">
        <f>PAIF!#REF!</f>
        <v>#REF!</v>
      </c>
      <c r="F22" s="41">
        <f>PAIF!H40</f>
        <v>0</v>
      </c>
      <c r="G22" s="19"/>
    </row>
    <row r="23" spans="2:9" ht="18.75" customHeight="1" x14ac:dyDescent="0.2">
      <c r="B23" s="32"/>
      <c r="C23" s="36" t="s">
        <v>313</v>
      </c>
      <c r="D23" s="40"/>
      <c r="E23" s="41" t="e">
        <f>PAIF!#REF!</f>
        <v>#REF!</v>
      </c>
      <c r="F23" s="41">
        <f>PAIF!H41</f>
        <v>0</v>
      </c>
      <c r="G23" s="19"/>
    </row>
    <row r="24" spans="2:9" ht="18.75" customHeight="1" x14ac:dyDescent="0.2">
      <c r="B24" s="32"/>
      <c r="C24" s="36" t="s">
        <v>314</v>
      </c>
      <c r="D24" s="40"/>
      <c r="E24" s="41" t="e">
        <f>PAIF!#REF!</f>
        <v>#REF!</v>
      </c>
      <c r="F24" s="41">
        <f>PAIF!H42</f>
        <v>0</v>
      </c>
      <c r="G24" s="19"/>
    </row>
    <row r="25" spans="2:9" ht="18.75" customHeight="1" x14ac:dyDescent="0.2">
      <c r="B25" s="32"/>
      <c r="C25" s="36" t="s">
        <v>315</v>
      </c>
      <c r="D25" s="40"/>
      <c r="E25" s="41" t="e">
        <f>PAIF!#REF!</f>
        <v>#REF!</v>
      </c>
      <c r="F25" s="41">
        <f>PAIF!H44</f>
        <v>0</v>
      </c>
      <c r="G25" s="19"/>
    </row>
    <row r="26" spans="2:9" ht="20.100000000000001" customHeight="1" x14ac:dyDescent="0.2">
      <c r="B26" s="15">
        <v>7</v>
      </c>
      <c r="C26" s="9" t="s">
        <v>15</v>
      </c>
      <c r="D26" s="18">
        <v>850000</v>
      </c>
      <c r="E26" s="38" t="e">
        <f>SUM(E27)</f>
        <v>#REF!</v>
      </c>
      <c r="F26" s="38">
        <f>SUM(F27)</f>
        <v>20732340</v>
      </c>
      <c r="G26" s="19" t="e">
        <f>IF(D26=0,"",E26/D26)</f>
        <v>#REF!</v>
      </c>
    </row>
    <row r="27" spans="2:9" ht="18.75" customHeight="1" x14ac:dyDescent="0.2">
      <c r="B27" s="35"/>
      <c r="C27" s="115" t="s">
        <v>316</v>
      </c>
      <c r="D27" s="40"/>
      <c r="E27" s="42" t="e">
        <f>PAIF!#REF!-PAIF!#REF!</f>
        <v>#REF!</v>
      </c>
      <c r="F27" s="42">
        <f>PAIF!H29-PAIF!H32</f>
        <v>20732340</v>
      </c>
      <c r="G27" s="19"/>
    </row>
    <row r="28" spans="2:9" ht="20.100000000000001" customHeight="1" x14ac:dyDescent="0.2">
      <c r="B28" s="599" t="s">
        <v>16</v>
      </c>
      <c r="C28" s="600"/>
      <c r="D28" s="24">
        <f>D21+D26</f>
        <v>850000</v>
      </c>
      <c r="E28" s="25" t="e">
        <f>E21+E26</f>
        <v>#REF!</v>
      </c>
      <c r="F28" s="25">
        <f>F21+F26</f>
        <v>20732340</v>
      </c>
      <c r="G28" s="20" t="e">
        <f>IF(D28=0,"",E28/D28)</f>
        <v>#REF!</v>
      </c>
      <c r="H28" s="5"/>
    </row>
    <row r="29" spans="2:9" ht="20.100000000000001" customHeight="1" x14ac:dyDescent="0.2">
      <c r="B29" s="601" t="s">
        <v>17</v>
      </c>
      <c r="C29" s="602"/>
      <c r="D29" s="24">
        <f>+D20+D28</f>
        <v>88953733.319999993</v>
      </c>
      <c r="E29" s="25" t="e">
        <f>+E20+E28</f>
        <v>#REF!</v>
      </c>
      <c r="F29" s="25" t="e">
        <f>+F20+F28</f>
        <v>#REF!</v>
      </c>
      <c r="G29" s="20" t="e">
        <f>IF(D29=0,"",E29/D29)</f>
        <v>#REF!</v>
      </c>
      <c r="H29" s="5"/>
    </row>
    <row r="30" spans="2:9" ht="20.100000000000001" customHeight="1" x14ac:dyDescent="0.2">
      <c r="B30" s="16">
        <v>8</v>
      </c>
      <c r="C30" s="10" t="s">
        <v>18</v>
      </c>
      <c r="D30" s="18">
        <v>400000</v>
      </c>
      <c r="E30" s="38" t="e">
        <f>SUM(E31:E34)</f>
        <v>#REF!</v>
      </c>
      <c r="F30" s="38" t="e">
        <f>SUM(F31:F34)</f>
        <v>#REF!</v>
      </c>
      <c r="G30" s="19" t="e">
        <f>IF(D30=0,"",E30/D30)</f>
        <v>#REF!</v>
      </c>
    </row>
    <row r="31" spans="2:9" ht="18.75" customHeight="1" x14ac:dyDescent="0.2">
      <c r="B31" s="28"/>
      <c r="C31" s="37" t="s">
        <v>317</v>
      </c>
      <c r="D31" s="40"/>
      <c r="E31" s="42" t="e">
        <f>PAIF!#REF!-#REF!-#REF!</f>
        <v>#REF!</v>
      </c>
      <c r="F31" s="42" t="e">
        <f>PAIF!H43-#REF!-#REF!</f>
        <v>#REF!</v>
      </c>
      <c r="G31" s="19"/>
    </row>
    <row r="32" spans="2:9" ht="18.75" customHeight="1" x14ac:dyDescent="0.2">
      <c r="B32" s="28"/>
      <c r="C32" s="36" t="s">
        <v>318</v>
      </c>
      <c r="D32" s="40"/>
      <c r="E32" s="42" t="e">
        <f>PAIF!#REF!</f>
        <v>#REF!</v>
      </c>
      <c r="F32" s="42">
        <f>PAIF!H45</f>
        <v>0</v>
      </c>
      <c r="G32" s="19"/>
    </row>
    <row r="33" spans="2:8" ht="18.75" customHeight="1" x14ac:dyDescent="0.2">
      <c r="B33" s="28"/>
      <c r="C33" s="116" t="s">
        <v>335</v>
      </c>
      <c r="D33" s="40"/>
      <c r="E33" s="42" t="e">
        <f>PAIF!#REF!</f>
        <v>#REF!</v>
      </c>
      <c r="F33" s="42">
        <f>PAIF!H50</f>
        <v>65106697.809999987</v>
      </c>
      <c r="G33" s="19"/>
    </row>
    <row r="34" spans="2:8" ht="18.75" customHeight="1" x14ac:dyDescent="0.2">
      <c r="B34" s="28"/>
      <c r="C34" s="116" t="s">
        <v>232</v>
      </c>
      <c r="D34" s="40"/>
      <c r="E34" s="42"/>
      <c r="F34" s="42"/>
      <c r="G34" s="19"/>
    </row>
    <row r="35" spans="2:8" ht="20.100000000000001" customHeight="1" x14ac:dyDescent="0.2">
      <c r="B35" s="17">
        <v>9</v>
      </c>
      <c r="C35" s="9" t="s">
        <v>19</v>
      </c>
      <c r="D35" s="18">
        <v>200000</v>
      </c>
      <c r="E35" s="38" t="e">
        <f>SUM(E36:E37)</f>
        <v>#REF!</v>
      </c>
      <c r="F35" s="38">
        <f>SUM(F36:F37)</f>
        <v>0</v>
      </c>
      <c r="G35" s="19" t="e">
        <f>IF(D35=0,"",E35/D35)</f>
        <v>#REF!</v>
      </c>
    </row>
    <row r="36" spans="2:8" ht="18.75" customHeight="1" x14ac:dyDescent="0.2">
      <c r="B36" s="17"/>
      <c r="C36" s="115" t="s">
        <v>319</v>
      </c>
      <c r="D36" s="40"/>
      <c r="E36" s="47" t="e">
        <f>PAIF!#REF!</f>
        <v>#REF!</v>
      </c>
      <c r="F36" s="47">
        <f>PAIF!H25</f>
        <v>0</v>
      </c>
      <c r="G36" s="19"/>
    </row>
    <row r="37" spans="2:8" ht="18.75" customHeight="1" x14ac:dyDescent="0.2">
      <c r="B37" s="17"/>
      <c r="C37" s="115" t="s">
        <v>320</v>
      </c>
      <c r="D37" s="40"/>
      <c r="E37" s="47" t="e">
        <f>PAIF!#REF!</f>
        <v>#REF!</v>
      </c>
      <c r="F37" s="47">
        <f>PAIF!H34</f>
        <v>0</v>
      </c>
      <c r="G37" s="19"/>
    </row>
    <row r="38" spans="2:8" ht="20.100000000000001" customHeight="1" x14ac:dyDescent="0.2">
      <c r="B38" s="601" t="s">
        <v>20</v>
      </c>
      <c r="C38" s="602"/>
      <c r="D38" s="24">
        <f>D30+D35</f>
        <v>600000</v>
      </c>
      <c r="E38" s="25" t="e">
        <f>E30+E35</f>
        <v>#REF!</v>
      </c>
      <c r="F38" s="25" t="e">
        <f>F30+F35</f>
        <v>#REF!</v>
      </c>
      <c r="G38" s="20" t="e">
        <f>IF(D38=0,"",E38/D38)</f>
        <v>#REF!</v>
      </c>
      <c r="H38" s="5"/>
    </row>
    <row r="39" spans="2:8" ht="20.100000000000001" customHeight="1" thickBot="1" x14ac:dyDescent="0.25">
      <c r="B39" s="605" t="s">
        <v>5</v>
      </c>
      <c r="C39" s="606"/>
      <c r="D39" s="23">
        <f>+D29+D38</f>
        <v>89553733.319999993</v>
      </c>
      <c r="E39" s="22" t="e">
        <f>+E29+E38</f>
        <v>#REF!</v>
      </c>
      <c r="F39" s="22" t="e">
        <f>+F29+F38</f>
        <v>#REF!</v>
      </c>
      <c r="G39" s="21" t="e">
        <f>IF(D39=0,"",E39/D39)</f>
        <v>#REF!</v>
      </c>
      <c r="H39" s="5"/>
    </row>
    <row r="40" spans="2:8" s="48" customFormat="1" ht="20.100000000000001" customHeight="1" x14ac:dyDescent="0.2">
      <c r="B40" s="49"/>
      <c r="C40" s="49"/>
      <c r="D40" s="51"/>
      <c r="E40" s="50"/>
      <c r="F40" s="50"/>
      <c r="G40" s="52"/>
      <c r="H40" s="53"/>
    </row>
    <row r="41" spans="2:8" ht="20.100000000000001" customHeight="1" thickBot="1" x14ac:dyDescent="0.25">
      <c r="B41" s="6"/>
      <c r="C41" s="6"/>
      <c r="D41" s="6"/>
      <c r="E41" s="6"/>
      <c r="F41" s="6"/>
      <c r="G41" s="7"/>
    </row>
    <row r="42" spans="2:8" ht="30" customHeight="1" x14ac:dyDescent="0.2">
      <c r="B42" s="603" t="s">
        <v>1</v>
      </c>
      <c r="C42" s="604"/>
      <c r="D42" s="243" t="str">
        <f>D7</f>
        <v>PRESUPUESTO
2015</v>
      </c>
      <c r="E42" s="245" t="str">
        <f>E7</f>
        <v>REAL A
30.09.15</v>
      </c>
      <c r="F42" s="245" t="str">
        <f>F7</f>
        <v>PREVISIÓN CIERRE</v>
      </c>
      <c r="G42" s="244" t="str">
        <f>G7</f>
        <v>% Ejecución</v>
      </c>
    </row>
    <row r="43" spans="2:8" ht="20.100000000000001" customHeight="1" x14ac:dyDescent="0.2">
      <c r="B43" s="12">
        <v>1</v>
      </c>
      <c r="C43" s="11" t="s">
        <v>21</v>
      </c>
      <c r="D43" s="18">
        <v>13460949</v>
      </c>
      <c r="E43" s="208" t="e">
        <f>SUM(E44:E46)</f>
        <v>#REF!</v>
      </c>
      <c r="F43" s="208" t="e">
        <f>SUM(F44:F46)</f>
        <v>#REF!</v>
      </c>
      <c r="G43" s="19" t="e">
        <f>IF(D43=0,"",E43/D43)</f>
        <v>#REF!</v>
      </c>
    </row>
    <row r="44" spans="2:8" ht="18.75" customHeight="1" x14ac:dyDescent="0.2">
      <c r="B44" s="12"/>
      <c r="C44" s="26" t="s">
        <v>309</v>
      </c>
      <c r="D44" s="40"/>
      <c r="E44" s="44" t="e">
        <f>ABS(PyG!#REF!)-#REF!</f>
        <v>#REF!</v>
      </c>
      <c r="F44" s="44" t="e">
        <f>ABS(PyG!E38)-#REF!</f>
        <v>#REF!</v>
      </c>
      <c r="G44" s="19"/>
    </row>
    <row r="45" spans="2:8" ht="18.75" customHeight="1" x14ac:dyDescent="0.2">
      <c r="B45" s="12"/>
      <c r="C45" s="136" t="s">
        <v>310</v>
      </c>
      <c r="D45" s="40"/>
      <c r="E45" s="44" t="e">
        <f>ABS(PyG!#REF!)-#REF!</f>
        <v>#REF!</v>
      </c>
      <c r="F45" s="44" t="e">
        <f>ABS(PyG!E39)-#REF!</f>
        <v>#REF!</v>
      </c>
      <c r="G45" s="19"/>
    </row>
    <row r="46" spans="2:8" ht="18.75" customHeight="1" x14ac:dyDescent="0.2">
      <c r="B46" s="12"/>
      <c r="C46" s="115" t="s">
        <v>337</v>
      </c>
      <c r="D46" s="40"/>
      <c r="E46" s="42" t="e">
        <f>PAIF!#REF!</f>
        <v>#REF!</v>
      </c>
      <c r="F46" s="42">
        <f>PAIF!D45</f>
        <v>0</v>
      </c>
      <c r="G46" s="19"/>
    </row>
    <row r="47" spans="2:8" ht="20.100000000000001" customHeight="1" x14ac:dyDescent="0.2">
      <c r="B47" s="12">
        <v>2</v>
      </c>
      <c r="C47" s="11" t="s">
        <v>22</v>
      </c>
      <c r="D47" s="18">
        <v>23031009</v>
      </c>
      <c r="E47" s="208" t="e">
        <f>SUM(E48:E56)-#REF!-#REF!</f>
        <v>#REF!</v>
      </c>
      <c r="F47" s="208" t="e">
        <f>SUM(F48:F56)-#REF!-#REF!</f>
        <v>#REF!</v>
      </c>
      <c r="G47" s="19" t="e">
        <f>IF(D47=0,"",E47/D47)</f>
        <v>#REF!</v>
      </c>
    </row>
    <row r="48" spans="2:8" ht="18.75" customHeight="1" x14ac:dyDescent="0.2">
      <c r="B48" s="12"/>
      <c r="C48" s="327" t="s">
        <v>100</v>
      </c>
      <c r="D48" s="40"/>
      <c r="E48" s="326" t="e">
        <f>-PyG!#REF!</f>
        <v>#REF!</v>
      </c>
      <c r="F48" s="326">
        <f>PyG!E26</f>
        <v>2472726.84</v>
      </c>
      <c r="G48" s="19"/>
    </row>
    <row r="49" spans="2:7" ht="18.75" customHeight="1" x14ac:dyDescent="0.2">
      <c r="B49" s="12"/>
      <c r="C49" s="26" t="s">
        <v>403</v>
      </c>
      <c r="D49" s="40"/>
      <c r="E49" s="44" t="e">
        <f>-(PyG!#REF!+PyG!#REF!+PyG!#REF!)-#REF!</f>
        <v>#REF!</v>
      </c>
      <c r="F49" s="326" t="e">
        <f>-(PyG!E29+PyG!E30+PyG!E31)-#REF!</f>
        <v>#REF!</v>
      </c>
      <c r="G49" s="19"/>
    </row>
    <row r="50" spans="2:7" ht="18.75" customHeight="1" x14ac:dyDescent="0.2">
      <c r="B50" s="12"/>
      <c r="C50" s="328" t="s">
        <v>404</v>
      </c>
      <c r="D50" s="40"/>
      <c r="E50" s="326" t="e">
        <f>(BAL!#REF!-BAL!#REF!)-(BAL!E35-BAL!E41)</f>
        <v>#REF!</v>
      </c>
      <c r="F50" s="326">
        <f>(BAL!G35-BAL!G41)-(BAL!E35-BAL!E41)</f>
        <v>-3009306.7200000025</v>
      </c>
      <c r="G50" s="19"/>
    </row>
    <row r="51" spans="2:7" ht="18.75" customHeight="1" x14ac:dyDescent="0.2">
      <c r="B51" s="12"/>
      <c r="C51" s="26" t="s">
        <v>221</v>
      </c>
      <c r="D51" s="40"/>
      <c r="E51" s="44" t="e">
        <f>ABS(PyG!#REF!)-#REF!</f>
        <v>#REF!</v>
      </c>
      <c r="F51" s="44" t="e">
        <f>ABS(PyG!E42)-#REF!</f>
        <v>#REF!</v>
      </c>
      <c r="G51" s="19"/>
    </row>
    <row r="52" spans="2:7" ht="18.75" customHeight="1" x14ac:dyDescent="0.2">
      <c r="B52" s="12"/>
      <c r="C52" s="27" t="s">
        <v>222</v>
      </c>
      <c r="D52" s="40"/>
      <c r="E52" s="46" t="e">
        <f>ABS(PyG!#REF!)-#REF!</f>
        <v>#REF!</v>
      </c>
      <c r="F52" s="46" t="e">
        <f>ABS(PyG!E43)-#REF!</f>
        <v>#REF!</v>
      </c>
      <c r="G52" s="19"/>
    </row>
    <row r="53" spans="2:7" ht="18.75" customHeight="1" x14ac:dyDescent="0.2">
      <c r="B53" s="12"/>
      <c r="C53" s="26" t="s">
        <v>223</v>
      </c>
      <c r="D53" s="40"/>
      <c r="E53" s="44" t="e">
        <f>ABS(PyG!#REF!)</f>
        <v>#REF!</v>
      </c>
      <c r="F53" s="44">
        <f>ABS(PyG!E45)</f>
        <v>50000</v>
      </c>
      <c r="G53" s="19"/>
    </row>
    <row r="54" spans="2:7" ht="18.75" customHeight="1" x14ac:dyDescent="0.2">
      <c r="B54" s="12"/>
      <c r="C54" s="29" t="s">
        <v>226</v>
      </c>
      <c r="D54" s="40"/>
      <c r="E54" s="44" t="e">
        <f>ABS(PyG!#REF!)-#REF!</f>
        <v>#REF!</v>
      </c>
      <c r="F54" s="44" t="e">
        <f>ABS(PyG!E57)-#REF!</f>
        <v>#REF!</v>
      </c>
      <c r="G54" s="19"/>
    </row>
    <row r="55" spans="2:7" ht="18.75" customHeight="1" x14ac:dyDescent="0.2">
      <c r="B55" s="12"/>
      <c r="C55" s="137" t="s">
        <v>358</v>
      </c>
      <c r="D55" s="40"/>
      <c r="E55" s="39" t="e">
        <f>PyG!#REF!</f>
        <v>#REF!</v>
      </c>
      <c r="F55" s="39">
        <f>PyG!E91</f>
        <v>353717.03</v>
      </c>
      <c r="G55" s="19"/>
    </row>
    <row r="56" spans="2:7" ht="20.100000000000001" customHeight="1" x14ac:dyDescent="0.2">
      <c r="B56" s="12"/>
      <c r="C56" s="34" t="s">
        <v>338</v>
      </c>
      <c r="D56" s="40"/>
      <c r="E56" s="41" t="e">
        <f>PAIF!#REF!</f>
        <v>#REF!</v>
      </c>
      <c r="F56" s="41">
        <f>PAIF!D46</f>
        <v>1300000</v>
      </c>
      <c r="G56" s="19"/>
    </row>
    <row r="57" spans="2:7" ht="20.100000000000001" customHeight="1" x14ac:dyDescent="0.2">
      <c r="B57" s="12">
        <v>3</v>
      </c>
      <c r="C57" s="11" t="s">
        <v>23</v>
      </c>
      <c r="D57" s="18">
        <v>10229596</v>
      </c>
      <c r="E57" s="208" t="e">
        <f>SUM(E58:E60)+#REF!</f>
        <v>#REF!</v>
      </c>
      <c r="F57" s="208" t="e">
        <f>SUM(F58:F60)+#REF!</f>
        <v>#REF!</v>
      </c>
      <c r="G57" s="19" t="e">
        <f>IF(D57=0,"",E57/D57)</f>
        <v>#REF!</v>
      </c>
    </row>
    <row r="58" spans="2:7" ht="20.100000000000001" customHeight="1" x14ac:dyDescent="0.2">
      <c r="B58" s="12"/>
      <c r="C58" s="29" t="s">
        <v>342</v>
      </c>
      <c r="D58" s="40"/>
      <c r="E58" s="44" t="e">
        <f>ABS(PyG!#REF!)</f>
        <v>#REF!</v>
      </c>
      <c r="F58" s="44">
        <f>ABS(PyG!E68)</f>
        <v>0</v>
      </c>
      <c r="G58" s="19"/>
    </row>
    <row r="59" spans="2:7" ht="20.100000000000001" customHeight="1" x14ac:dyDescent="0.2">
      <c r="B59" s="12"/>
      <c r="C59" s="29" t="s">
        <v>343</v>
      </c>
      <c r="D59" s="40"/>
      <c r="E59" s="44" t="e">
        <f>ABS(PyG!#REF!)</f>
        <v>#REF!</v>
      </c>
      <c r="F59" s="44">
        <f>ABS(PyG!E69)</f>
        <v>19000</v>
      </c>
      <c r="G59" s="19"/>
    </row>
    <row r="60" spans="2:7" ht="20.100000000000001" customHeight="1" x14ac:dyDescent="0.2">
      <c r="B60" s="12"/>
      <c r="C60" s="34" t="s">
        <v>327</v>
      </c>
      <c r="D60" s="40"/>
      <c r="E60" s="42" t="e">
        <f>PAIF!#REF!</f>
        <v>#REF!</v>
      </c>
      <c r="F60" s="42">
        <f>PAIF!D37</f>
        <v>0</v>
      </c>
      <c r="G60" s="19"/>
    </row>
    <row r="61" spans="2:7" ht="20.100000000000001" customHeight="1" x14ac:dyDescent="0.2">
      <c r="B61" s="12">
        <v>4</v>
      </c>
      <c r="C61" s="11" t="s">
        <v>11</v>
      </c>
      <c r="D61" s="18">
        <v>0</v>
      </c>
      <c r="E61" s="43"/>
      <c r="F61" s="43"/>
      <c r="G61" s="19" t="str">
        <f>IF(D61=0,"",E61/D61)</f>
        <v/>
      </c>
    </row>
    <row r="62" spans="2:7" ht="20.100000000000001" customHeight="1" x14ac:dyDescent="0.2">
      <c r="B62" s="599" t="s">
        <v>13</v>
      </c>
      <c r="C62" s="600"/>
      <c r="D62" s="24">
        <f>SUM(D43:D61)</f>
        <v>46721554</v>
      </c>
      <c r="E62" s="25" t="e">
        <f>E43+E47+E57+E61</f>
        <v>#REF!</v>
      </c>
      <c r="F62" s="25" t="e">
        <f>F43+F47+F57+F61</f>
        <v>#REF!</v>
      </c>
      <c r="G62" s="20" t="e">
        <f>IF(D62=0,"",E62/D62)</f>
        <v>#REF!</v>
      </c>
    </row>
    <row r="63" spans="2:7" ht="20.100000000000001" customHeight="1" x14ac:dyDescent="0.2">
      <c r="B63" s="14">
        <v>6</v>
      </c>
      <c r="C63" s="10" t="s">
        <v>24</v>
      </c>
      <c r="D63" s="18">
        <v>400000</v>
      </c>
      <c r="E63" s="38" t="e">
        <f>SUM(E64:E66)-PyG!#REF!-#REF!</f>
        <v>#REF!</v>
      </c>
      <c r="F63" s="38" t="e">
        <f>SUM(F64:F66)-PyG!E66-#REF!</f>
        <v>#REF!</v>
      </c>
      <c r="G63" s="19" t="e">
        <f>IF(D63=0,"",E63/D63)</f>
        <v>#REF!</v>
      </c>
    </row>
    <row r="64" spans="2:7" ht="20.100000000000001" customHeight="1" x14ac:dyDescent="0.2">
      <c r="B64" s="32"/>
      <c r="C64" s="33" t="s">
        <v>321</v>
      </c>
      <c r="D64" s="40"/>
      <c r="E64" s="42" t="e">
        <f>PAIF!#REF!-PAIF!#REF!</f>
        <v>#REF!</v>
      </c>
      <c r="F64" s="42">
        <f>PAIF!D12-PAIF!H32</f>
        <v>-25779836.030000001</v>
      </c>
      <c r="G64" s="19"/>
    </row>
    <row r="65" spans="2:7" ht="20.100000000000001" customHeight="1" x14ac:dyDescent="0.2">
      <c r="B65" s="32"/>
      <c r="C65" s="33" t="s">
        <v>322</v>
      </c>
      <c r="D65" s="40"/>
      <c r="E65" s="42" t="e">
        <f>PAIF!#REF!+#REF!+#REF!</f>
        <v>#REF!</v>
      </c>
      <c r="F65" s="42" t="e">
        <f>PAIF!D17+#REF!+#REF!</f>
        <v>#REF!</v>
      </c>
      <c r="G65" s="19"/>
    </row>
    <row r="66" spans="2:7" ht="20.100000000000001" customHeight="1" x14ac:dyDescent="0.2">
      <c r="B66" s="32"/>
      <c r="C66" s="33" t="s">
        <v>323</v>
      </c>
      <c r="D66" s="40"/>
      <c r="E66" s="42" t="e">
        <f>PAIF!#REF!</f>
        <v>#REF!</v>
      </c>
      <c r="F66" s="42">
        <f>PAIF!D23</f>
        <v>136045645.53</v>
      </c>
      <c r="G66" s="19"/>
    </row>
    <row r="67" spans="2:7" ht="20.100000000000001" customHeight="1" x14ac:dyDescent="0.2">
      <c r="B67" s="15">
        <v>7</v>
      </c>
      <c r="C67" s="9" t="s">
        <v>15</v>
      </c>
      <c r="D67" s="18">
        <v>0</v>
      </c>
      <c r="E67" s="38"/>
      <c r="F67" s="38"/>
      <c r="G67" s="19" t="str">
        <f>IF(D67=0,"",E67/D67)</f>
        <v/>
      </c>
    </row>
    <row r="68" spans="2:7" ht="20.100000000000001" customHeight="1" x14ac:dyDescent="0.2">
      <c r="B68" s="599" t="s">
        <v>16</v>
      </c>
      <c r="C68" s="600"/>
      <c r="D68" s="24">
        <f>SUM(D63:D67)</f>
        <v>400000</v>
      </c>
      <c r="E68" s="25" t="e">
        <f>E63+E67</f>
        <v>#REF!</v>
      </c>
      <c r="F68" s="25" t="e">
        <f>F63+F67</f>
        <v>#REF!</v>
      </c>
      <c r="G68" s="20" t="e">
        <f>IF(D68=0,"",E68/D68)</f>
        <v>#REF!</v>
      </c>
    </row>
    <row r="69" spans="2:7" ht="20.100000000000001" customHeight="1" x14ac:dyDescent="0.2">
      <c r="B69" s="601" t="s">
        <v>17</v>
      </c>
      <c r="C69" s="602"/>
      <c r="D69" s="24">
        <f>+D62+D68</f>
        <v>47121554</v>
      </c>
      <c r="E69" s="25" t="e">
        <f>+E62+E68</f>
        <v>#REF!</v>
      </c>
      <c r="F69" s="25" t="e">
        <f>+F62+F68</f>
        <v>#REF!</v>
      </c>
      <c r="G69" s="20" t="e">
        <f>IF(D69=0,"",E69/D69)</f>
        <v>#REF!</v>
      </c>
    </row>
    <row r="70" spans="2:7" ht="20.100000000000001" customHeight="1" x14ac:dyDescent="0.2">
      <c r="B70" s="16">
        <v>8</v>
      </c>
      <c r="C70" s="10" t="s">
        <v>18</v>
      </c>
      <c r="D70" s="18">
        <v>10258124.150000006</v>
      </c>
      <c r="E70" s="38" t="e">
        <f>SUM(E71:E73)</f>
        <v>#REF!</v>
      </c>
      <c r="F70" s="38" t="e">
        <f>SUM(F71:F73)</f>
        <v>#REF!</v>
      </c>
      <c r="G70" s="19" t="e">
        <f>IF(D70=0,"",E70/D70)</f>
        <v>#REF!</v>
      </c>
    </row>
    <row r="71" spans="2:7" ht="20.100000000000001" customHeight="1" x14ac:dyDescent="0.2">
      <c r="B71" s="28"/>
      <c r="C71" s="33" t="s">
        <v>324</v>
      </c>
      <c r="D71" s="40"/>
      <c r="E71" s="42" t="e">
        <f>PAIF!#REF!-#REF!-#REF!</f>
        <v>#REF!</v>
      </c>
      <c r="F71" s="42" t="e">
        <f>PAIF!D26-#REF!-#REF!</f>
        <v>#REF!</v>
      </c>
      <c r="G71" s="19"/>
    </row>
    <row r="72" spans="2:7" ht="20.100000000000001" customHeight="1" x14ac:dyDescent="0.2">
      <c r="B72" s="28"/>
      <c r="C72" s="113" t="s">
        <v>336</v>
      </c>
      <c r="D72" s="40"/>
      <c r="E72" s="42" t="e">
        <f>PAIF!#REF!</f>
        <v>#REF!</v>
      </c>
      <c r="F72" s="42">
        <f>PAIF!D50</f>
        <v>0</v>
      </c>
      <c r="G72" s="19"/>
    </row>
    <row r="73" spans="2:7" ht="20.100000000000001" customHeight="1" x14ac:dyDescent="0.2">
      <c r="B73" s="28"/>
      <c r="C73" s="116" t="s">
        <v>232</v>
      </c>
      <c r="D73" s="40"/>
      <c r="E73" s="42"/>
      <c r="F73" s="42"/>
      <c r="G73" s="19"/>
    </row>
    <row r="74" spans="2:7" ht="20.100000000000001" customHeight="1" x14ac:dyDescent="0.2">
      <c r="B74" s="17">
        <v>9</v>
      </c>
      <c r="C74" s="9" t="s">
        <v>19</v>
      </c>
      <c r="D74" s="18">
        <v>32174055</v>
      </c>
      <c r="E74" s="38" t="e">
        <f>SUM(E75:E76)</f>
        <v>#REF!</v>
      </c>
      <c r="F74" s="38">
        <f>SUM(F75:F76)</f>
        <v>0</v>
      </c>
      <c r="G74" s="19" t="e">
        <f>IF(D74=0,"",E74/D74)</f>
        <v>#REF!</v>
      </c>
    </row>
    <row r="75" spans="2:7" ht="20.100000000000001" customHeight="1" x14ac:dyDescent="0.2">
      <c r="B75" s="17"/>
      <c r="C75" s="114" t="s">
        <v>325</v>
      </c>
      <c r="D75" s="40"/>
      <c r="E75" s="47" t="e">
        <f>PAIF!#REF!</f>
        <v>#REF!</v>
      </c>
      <c r="F75" s="47">
        <f>PAIF!D35</f>
        <v>0</v>
      </c>
      <c r="G75" s="19"/>
    </row>
    <row r="76" spans="2:7" ht="20.100000000000001" customHeight="1" x14ac:dyDescent="0.2">
      <c r="B76" s="17"/>
      <c r="C76" s="114" t="s">
        <v>326</v>
      </c>
      <c r="D76" s="40"/>
      <c r="E76" s="47" t="e">
        <f>PAIF!#REF!</f>
        <v>#REF!</v>
      </c>
      <c r="F76" s="47">
        <f>PAIF!D39</f>
        <v>0</v>
      </c>
      <c r="G76" s="19"/>
    </row>
    <row r="77" spans="2:7" ht="20.100000000000001" customHeight="1" x14ac:dyDescent="0.2">
      <c r="B77" s="601" t="s">
        <v>20</v>
      </c>
      <c r="C77" s="602"/>
      <c r="D77" s="24">
        <f>SUM(D70:D74)</f>
        <v>42432179.150000006</v>
      </c>
      <c r="E77" s="25" t="e">
        <f>E70+E74</f>
        <v>#REF!</v>
      </c>
      <c r="F77" s="25" t="e">
        <f>F70+F74</f>
        <v>#REF!</v>
      </c>
      <c r="G77" s="20" t="e">
        <f>IF(D77=0,"",E77/D77)</f>
        <v>#REF!</v>
      </c>
    </row>
    <row r="78" spans="2:7" ht="20.100000000000001" customHeight="1" thickBot="1" x14ac:dyDescent="0.25">
      <c r="B78" s="605" t="s">
        <v>5</v>
      </c>
      <c r="C78" s="606"/>
      <c r="D78" s="22">
        <f>+D77+D69</f>
        <v>89553733.150000006</v>
      </c>
      <c r="E78" s="22" t="e">
        <f>+E77+E69</f>
        <v>#REF!</v>
      </c>
      <c r="F78" s="22" t="e">
        <f>+F77+F69</f>
        <v>#REF!</v>
      </c>
      <c r="G78" s="21" t="e">
        <f>IF(D78=0,"",E78/D78)</f>
        <v>#REF!</v>
      </c>
    </row>
    <row r="81" spans="3:6" ht="25.5" x14ac:dyDescent="0.2">
      <c r="C81" s="275" t="s">
        <v>392</v>
      </c>
      <c r="D81" s="276">
        <f>D29-D69</f>
        <v>41832179.319999993</v>
      </c>
      <c r="E81" s="276" t="e">
        <f>E29-E69</f>
        <v>#REF!</v>
      </c>
      <c r="F81" s="277" t="e">
        <f>F29-F69</f>
        <v>#REF!</v>
      </c>
    </row>
    <row r="82" spans="3:6" x14ac:dyDescent="0.2">
      <c r="C82"/>
      <c r="D82" s="278"/>
      <c r="E82" s="278"/>
      <c r="F82" s="278"/>
    </row>
    <row r="83" spans="3:6" x14ac:dyDescent="0.2">
      <c r="C83" s="279" t="s">
        <v>391</v>
      </c>
      <c r="D83" s="276">
        <f>D39-D78</f>
        <v>0.16999998688697815</v>
      </c>
      <c r="E83" s="276" t="e">
        <f>E39-E78</f>
        <v>#REF!</v>
      </c>
      <c r="F83" s="277" t="e">
        <f>F39-F78</f>
        <v>#REF!</v>
      </c>
    </row>
  </sheetData>
  <mergeCells count="13">
    <mergeCell ref="B78:C78"/>
    <mergeCell ref="B39:C39"/>
    <mergeCell ref="B62:C62"/>
    <mergeCell ref="B68:C68"/>
    <mergeCell ref="B69:C69"/>
    <mergeCell ref="B42:C42"/>
    <mergeCell ref="B2:G2"/>
    <mergeCell ref="B20:C20"/>
    <mergeCell ref="B28:C28"/>
    <mergeCell ref="B77:C77"/>
    <mergeCell ref="B29:C29"/>
    <mergeCell ref="B38:C38"/>
    <mergeCell ref="B7:C7"/>
  </mergeCells>
  <phoneticPr fontId="0" type="noConversion"/>
  <conditionalFormatting sqref="D81:F81 D83:F83">
    <cfRule type="cellIs" dxfId="98" priority="1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6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>
      <selection activeCell="D38" sqref="D38"/>
    </sheetView>
  </sheetViews>
  <sheetFormatPr baseColWidth="10" defaultRowHeight="12.75" x14ac:dyDescent="0.2"/>
  <sheetData/>
  <sheetProtection password="CE88" sheet="1" objects="1" scenarios="1"/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4" sqref="D4:D8"/>
    </sheetView>
  </sheetViews>
  <sheetFormatPr baseColWidth="10" defaultRowHeight="12.75" x14ac:dyDescent="0.2"/>
  <cols>
    <col min="1" max="1" width="47.28515625" bestFit="1" customWidth="1"/>
    <col min="2" max="3" width="12.7109375" bestFit="1" customWidth="1"/>
    <col min="5" max="5" width="25.42578125" bestFit="1" customWidth="1"/>
    <col min="6" max="7" width="12.7109375" bestFit="1" customWidth="1"/>
  </cols>
  <sheetData>
    <row r="1" spans="1:8" x14ac:dyDescent="0.2">
      <c r="A1" s="613" t="s">
        <v>2</v>
      </c>
      <c r="B1" s="609" t="s">
        <v>411</v>
      </c>
      <c r="C1" s="611" t="s">
        <v>412</v>
      </c>
      <c r="E1" s="607" t="s">
        <v>25</v>
      </c>
      <c r="F1" s="609" t="s">
        <v>411</v>
      </c>
      <c r="G1" s="611" t="s">
        <v>412</v>
      </c>
    </row>
    <row r="2" spans="1:8" ht="50.25" customHeight="1" thickBot="1" x14ac:dyDescent="0.25">
      <c r="A2" s="608"/>
      <c r="B2" s="610"/>
      <c r="C2" s="612"/>
      <c r="E2" s="608"/>
      <c r="F2" s="610"/>
      <c r="G2" s="612"/>
    </row>
    <row r="3" spans="1:8" ht="16.5" thickTop="1" x14ac:dyDescent="0.2">
      <c r="A3" s="375" t="s">
        <v>26</v>
      </c>
    </row>
    <row r="4" spans="1:8" ht="16.5" x14ac:dyDescent="0.2">
      <c r="A4" s="376" t="s">
        <v>40</v>
      </c>
      <c r="B4" s="367">
        <v>162048.32000000004</v>
      </c>
      <c r="C4" s="367">
        <v>126598.79</v>
      </c>
      <c r="D4" s="367">
        <f>B4-C4</f>
        <v>35449.530000000042</v>
      </c>
      <c r="E4" s="377" t="s">
        <v>56</v>
      </c>
    </row>
    <row r="5" spans="1:8" ht="16.5" x14ac:dyDescent="0.2">
      <c r="A5" s="378"/>
      <c r="B5" s="367"/>
      <c r="C5" s="367"/>
      <c r="E5" s="379" t="s">
        <v>69</v>
      </c>
      <c r="F5" s="367">
        <v>21963595.550000004</v>
      </c>
      <c r="G5" s="367">
        <v>21781006.370000005</v>
      </c>
      <c r="H5" s="367">
        <f>F5-G5</f>
        <v>182589.1799999997</v>
      </c>
    </row>
    <row r="6" spans="1:8" ht="15.75" x14ac:dyDescent="0.2">
      <c r="A6" s="206" t="s">
        <v>41</v>
      </c>
      <c r="B6" s="367"/>
      <c r="C6" s="367"/>
    </row>
    <row r="7" spans="1:8" ht="16.5" x14ac:dyDescent="0.2">
      <c r="A7" s="376" t="s">
        <v>44</v>
      </c>
      <c r="B7" s="367"/>
      <c r="C7" s="367"/>
    </row>
    <row r="8" spans="1:8" x14ac:dyDescent="0.2">
      <c r="A8" s="380" t="s">
        <v>46</v>
      </c>
      <c r="B8" s="367">
        <v>1764990.6</v>
      </c>
      <c r="C8" s="367">
        <v>1617850.95</v>
      </c>
      <c r="D8" s="367">
        <f>B8-C8</f>
        <v>147139.65000000014</v>
      </c>
    </row>
    <row r="9" spans="1:8" x14ac:dyDescent="0.2">
      <c r="A9" s="380" t="s">
        <v>49</v>
      </c>
      <c r="B9" s="367">
        <v>15747.21</v>
      </c>
      <c r="C9" s="367">
        <v>25627.48</v>
      </c>
    </row>
    <row r="10" spans="1:8" x14ac:dyDescent="0.2">
      <c r="A10" s="380" t="s">
        <v>50</v>
      </c>
      <c r="B10" s="367">
        <v>9880.27</v>
      </c>
      <c r="C10" s="367">
        <v>0</v>
      </c>
    </row>
    <row r="12" spans="1:8" ht="13.5" thickBot="1" x14ac:dyDescent="0.25">
      <c r="B12" s="367"/>
      <c r="C12" s="367"/>
    </row>
    <row r="13" spans="1:8" x14ac:dyDescent="0.2">
      <c r="A13" s="613" t="s">
        <v>413</v>
      </c>
      <c r="B13" s="609" t="s">
        <v>411</v>
      </c>
      <c r="C13" s="611" t="s">
        <v>412</v>
      </c>
    </row>
    <row r="14" spans="1:8" ht="13.5" thickBot="1" x14ac:dyDescent="0.25">
      <c r="A14" s="608"/>
      <c r="B14" s="610"/>
      <c r="C14" s="612"/>
    </row>
    <row r="15" spans="1:8" ht="17.25" thickTop="1" x14ac:dyDescent="0.2">
      <c r="A15" s="381" t="s">
        <v>118</v>
      </c>
    </row>
    <row r="16" spans="1:8" x14ac:dyDescent="0.2">
      <c r="A16" s="382" t="s">
        <v>121</v>
      </c>
      <c r="B16" s="367">
        <v>-2159771</v>
      </c>
      <c r="C16" s="367">
        <v>-2306910.65</v>
      </c>
    </row>
    <row r="17" spans="1:3" x14ac:dyDescent="0.2">
      <c r="A17" s="378"/>
      <c r="B17" s="367"/>
      <c r="C17" s="367"/>
    </row>
    <row r="18" spans="1:3" ht="16.5" x14ac:dyDescent="0.2">
      <c r="A18" s="383" t="s">
        <v>140</v>
      </c>
      <c r="B18" s="367">
        <v>-263457.15000000002</v>
      </c>
      <c r="C18" s="367">
        <v>-298906.68</v>
      </c>
    </row>
    <row r="19" spans="1:3" ht="13.5" thickBot="1" x14ac:dyDescent="0.25">
      <c r="A19" s="378"/>
      <c r="B19" s="367"/>
      <c r="C19" s="367"/>
    </row>
    <row r="20" spans="1:3" ht="19.5" thickTop="1" thickBot="1" x14ac:dyDescent="0.3">
      <c r="A20" s="384" t="s">
        <v>142</v>
      </c>
      <c r="B20" s="385">
        <v>21963595.550000004</v>
      </c>
      <c r="C20" s="385">
        <v>21781006.370000005</v>
      </c>
    </row>
  </sheetData>
  <mergeCells count="9">
    <mergeCell ref="E1:E2"/>
    <mergeCell ref="F1:F2"/>
    <mergeCell ref="G1:G2"/>
    <mergeCell ref="A13:A14"/>
    <mergeCell ref="B13:B14"/>
    <mergeCell ref="C13:C14"/>
    <mergeCell ref="A1:A2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AC77"/>
  <sheetViews>
    <sheetView showZeros="0" tabSelected="1" topLeftCell="D1" zoomScale="90" zoomScaleNormal="90" workbookViewId="0">
      <selection activeCell="M40" sqref="M40"/>
    </sheetView>
  </sheetViews>
  <sheetFormatPr baseColWidth="10" defaultRowHeight="14.25" x14ac:dyDescent="0.2"/>
  <cols>
    <col min="1" max="1" width="17.140625" style="83" hidden="1" customWidth="1"/>
    <col min="2" max="2" width="18.85546875" style="155" hidden="1" customWidth="1"/>
    <col min="3" max="3" width="18.7109375" style="154" hidden="1" customWidth="1"/>
    <col min="4" max="4" width="47.7109375" style="83" customWidth="1"/>
    <col min="5" max="8" width="20.7109375" style="83" customWidth="1"/>
    <col min="9" max="9" width="48.7109375" style="83" customWidth="1"/>
    <col min="10" max="11" width="20.7109375" style="83" customWidth="1"/>
    <col min="12" max="13" width="20.5703125" style="83" customWidth="1"/>
    <col min="14" max="14" width="20.7109375" style="158" hidden="1" customWidth="1"/>
    <col min="15" max="15" width="20.7109375" style="154" hidden="1" customWidth="1"/>
    <col min="16" max="16" width="19.5703125" style="58" customWidth="1"/>
    <col min="17" max="17" width="20.28515625" style="58" customWidth="1"/>
    <col min="18" max="18" width="14" style="58" bestFit="1" customWidth="1"/>
    <col min="19" max="19" width="11.42578125" style="58"/>
    <col min="20" max="20" width="14" style="58" bestFit="1" customWidth="1"/>
    <col min="21" max="29" width="11.42578125" style="58"/>
    <col min="30" max="16384" width="11.42578125" style="83"/>
  </cols>
  <sheetData>
    <row r="1" spans="2:29" s="58" customFormat="1" x14ac:dyDescent="0.2">
      <c r="B1" s="154"/>
      <c r="C1" s="154"/>
      <c r="F1" s="140"/>
      <c r="N1" s="158"/>
      <c r="O1" s="154"/>
    </row>
    <row r="2" spans="2:29" s="58" customFormat="1" ht="18" customHeight="1" x14ac:dyDescent="0.2">
      <c r="B2" s="154"/>
      <c r="C2" s="154"/>
      <c r="D2" s="60"/>
      <c r="F2" s="140"/>
      <c r="G2" s="61" t="s">
        <v>3</v>
      </c>
      <c r="H2" s="61"/>
      <c r="N2" s="158"/>
      <c r="O2" s="154"/>
    </row>
    <row r="3" spans="2:29" s="58" customFormat="1" ht="18" customHeight="1" x14ac:dyDescent="0.2">
      <c r="B3" s="154"/>
      <c r="C3" s="154"/>
      <c r="D3" s="60"/>
      <c r="E3" s="140"/>
      <c r="F3" s="140"/>
      <c r="I3" s="140"/>
      <c r="N3" s="158"/>
      <c r="O3" s="154"/>
    </row>
    <row r="4" spans="2:29" s="58" customFormat="1" ht="18" customHeight="1" x14ac:dyDescent="0.2">
      <c r="B4" s="154"/>
      <c r="C4" s="154"/>
      <c r="D4" s="62"/>
      <c r="F4" s="140"/>
      <c r="G4" s="302"/>
      <c r="H4" s="302"/>
      <c r="I4" s="140"/>
      <c r="N4" s="158"/>
      <c r="O4" s="154"/>
    </row>
    <row r="5" spans="2:29" s="58" customFormat="1" ht="18" customHeight="1" x14ac:dyDescent="0.2">
      <c r="B5" s="154"/>
      <c r="C5" s="154"/>
      <c r="D5" s="204" t="s">
        <v>396</v>
      </c>
      <c r="F5" s="140"/>
      <c r="G5" s="140"/>
      <c r="H5" s="140"/>
      <c r="I5" s="140"/>
      <c r="J5" s="59"/>
      <c r="K5" s="59"/>
      <c r="N5" s="158"/>
      <c r="O5" s="154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2:29" ht="5.0999999999999996" customHeight="1" thickBot="1" x14ac:dyDescent="0.25">
      <c r="D6" s="85"/>
      <c r="E6" s="84"/>
      <c r="F6" s="84"/>
      <c r="I6" s="86"/>
      <c r="J6" s="85"/>
      <c r="K6" s="85"/>
      <c r="L6" s="84"/>
      <c r="M6" s="84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2:29" ht="15.75" x14ac:dyDescent="0.2">
      <c r="D7" s="613" t="s">
        <v>2</v>
      </c>
      <c r="E7" s="54" t="s">
        <v>407</v>
      </c>
      <c r="F7" s="461" t="s">
        <v>433</v>
      </c>
      <c r="G7" s="479" t="s">
        <v>381</v>
      </c>
      <c r="H7" s="505" t="s">
        <v>4</v>
      </c>
      <c r="I7" s="607" t="s">
        <v>25</v>
      </c>
      <c r="J7" s="54" t="str">
        <f>+E7</f>
        <v>REAL</v>
      </c>
      <c r="K7" s="55" t="s">
        <v>4</v>
      </c>
      <c r="L7" s="479" t="str">
        <f>G7</f>
        <v>PREVISIÓN CIERRE</v>
      </c>
      <c r="M7" s="64" t="s">
        <v>4</v>
      </c>
      <c r="N7" s="146" t="s">
        <v>383</v>
      </c>
      <c r="O7" s="614" t="s">
        <v>384</v>
      </c>
    </row>
    <row r="8" spans="2:29" ht="16.5" thickBot="1" x14ac:dyDescent="0.25">
      <c r="D8" s="608"/>
      <c r="E8" s="501">
        <v>44926</v>
      </c>
      <c r="F8" s="462" t="s">
        <v>434</v>
      </c>
      <c r="G8" s="237">
        <v>45291</v>
      </c>
      <c r="H8" s="506">
        <v>45657</v>
      </c>
      <c r="I8" s="608"/>
      <c r="J8" s="501">
        <f>E8</f>
        <v>44926</v>
      </c>
      <c r="K8" s="56" t="str">
        <f>F8</f>
        <v>2022-2023</v>
      </c>
      <c r="L8" s="237">
        <f>G8</f>
        <v>45291</v>
      </c>
      <c r="M8" s="531">
        <f>H8</f>
        <v>45657</v>
      </c>
      <c r="N8" s="210" t="e">
        <f>#REF!</f>
        <v>#REF!</v>
      </c>
      <c r="O8" s="614"/>
    </row>
    <row r="9" spans="2:29" ht="14.1" customHeight="1" thickTop="1" x14ac:dyDescent="0.2">
      <c r="B9" s="246" t="s">
        <v>383</v>
      </c>
      <c r="C9" s="617" t="s">
        <v>384</v>
      </c>
      <c r="D9" s="195"/>
      <c r="E9" s="502"/>
      <c r="F9" s="87"/>
      <c r="G9" s="87"/>
      <c r="H9" s="388"/>
      <c r="I9" s="238"/>
      <c r="J9" s="502"/>
      <c r="K9" s="87"/>
      <c r="L9" s="87"/>
      <c r="M9" s="586"/>
      <c r="O9" s="158"/>
      <c r="P9" s="491"/>
      <c r="Q9" s="491"/>
    </row>
    <row r="10" spans="2:29" ht="14.1" customHeight="1" x14ac:dyDescent="0.2">
      <c r="B10" s="210" t="e">
        <f>#REF!</f>
        <v>#REF!</v>
      </c>
      <c r="C10" s="617"/>
      <c r="D10" s="196" t="s">
        <v>26</v>
      </c>
      <c r="E10" s="503">
        <f>E11+E17+E21+E24+E31</f>
        <v>830341472.58000004</v>
      </c>
      <c r="F10" s="285">
        <f>F11+F17+F21+F24+F31</f>
        <v>865896509.3900001</v>
      </c>
      <c r="G10" s="285">
        <f>G11+G17+G21+G24+G31</f>
        <v>956255054.34999979</v>
      </c>
      <c r="H10" s="507">
        <f>H11+H17+H21+H24+H31</f>
        <v>1069202284.8899999</v>
      </c>
      <c r="I10" s="198" t="s">
        <v>56</v>
      </c>
      <c r="J10" s="503">
        <f>J11+J26+J31</f>
        <v>1125926873.74</v>
      </c>
      <c r="K10" s="285">
        <f>K11+K26+K31</f>
        <v>1043481601.6700001</v>
      </c>
      <c r="L10" s="285">
        <f>L11+L26+L31</f>
        <v>1179439568.51</v>
      </c>
      <c r="M10" s="587">
        <f>M11+M26+M31</f>
        <v>1264487305.71</v>
      </c>
      <c r="N10" s="280"/>
      <c r="O10" s="281"/>
      <c r="P10" s="491"/>
      <c r="Q10" s="491"/>
    </row>
    <row r="11" spans="2:29" ht="14.1" customHeight="1" x14ac:dyDescent="0.2">
      <c r="B11" s="156" t="e">
        <f>E11+PAIF!#REF!-PAIF!#REF!+PyG!#REF!</f>
        <v>#REF!</v>
      </c>
      <c r="C11" s="157">
        <f>E11+PAIF!D12-PAIF!H40+PyG!E47</f>
        <v>615558.80000000005</v>
      </c>
      <c r="D11" s="69" t="s">
        <v>27</v>
      </c>
      <c r="E11" s="296">
        <f>SUM(E12:E16)</f>
        <v>590558.80000000005</v>
      </c>
      <c r="F11" s="286">
        <f>SUM(F12:F16)</f>
        <v>369616.91</v>
      </c>
      <c r="G11" s="286">
        <f>SUM(G12:G16)</f>
        <v>615558.79999999993</v>
      </c>
      <c r="H11" s="508">
        <f>SUM(H12:H16)</f>
        <v>494558.79999999993</v>
      </c>
      <c r="I11" s="199" t="s">
        <v>57</v>
      </c>
      <c r="J11" s="296">
        <f>J12+J15+J16+J19+J22+J23+J24</f>
        <v>275303801.55000001</v>
      </c>
      <c r="K11" s="286">
        <f>K12+K15+K16+K19+K22+K23+K24</f>
        <v>250309534.13</v>
      </c>
      <c r="L11" s="286">
        <f>L12+L15+L16+L19+L22+L23+L24</f>
        <v>294054320.29000002</v>
      </c>
      <c r="M11" s="351">
        <f>M12+M15+M16+M19+M22+M23+M24</f>
        <v>309502057.49000001</v>
      </c>
      <c r="P11" s="491"/>
      <c r="Q11" s="491"/>
    </row>
    <row r="12" spans="2:29" ht="14.1" customHeight="1" x14ac:dyDescent="0.2">
      <c r="D12" s="68" t="s">
        <v>210</v>
      </c>
      <c r="E12" s="295"/>
      <c r="F12" s="288"/>
      <c r="G12" s="288"/>
      <c r="H12" s="509"/>
      <c r="I12" s="200" t="s">
        <v>58</v>
      </c>
      <c r="J12" s="296">
        <f>SUM(J13:J14)</f>
        <v>147030142.5</v>
      </c>
      <c r="K12" s="286">
        <f>SUM(K13:K14)</f>
        <v>147030142.5</v>
      </c>
      <c r="L12" s="286">
        <f>SUM(L13:L14)</f>
        <v>147030142.5</v>
      </c>
      <c r="M12" s="351">
        <f>SUM(M13:M14)</f>
        <v>147030142.5</v>
      </c>
      <c r="N12" s="160" t="e">
        <f>J12+PAIF!#REF!-PAIF!#REF!</f>
        <v>#REF!</v>
      </c>
      <c r="O12" s="157">
        <f>J12+PAIF!H25-PAIF!D35</f>
        <v>147030142.5</v>
      </c>
      <c r="P12" s="491"/>
      <c r="Q12" s="491"/>
    </row>
    <row r="13" spans="2:29" ht="14.1" customHeight="1" x14ac:dyDescent="0.2">
      <c r="C13" s="154" t="e">
        <f>C14-B14</f>
        <v>#REF!</v>
      </c>
      <c r="D13" s="68" t="s">
        <v>28</v>
      </c>
      <c r="E13" s="295"/>
      <c r="F13" s="288"/>
      <c r="G13" s="288"/>
      <c r="H13" s="509"/>
      <c r="I13" s="77" t="s">
        <v>59</v>
      </c>
      <c r="J13" s="295">
        <v>147030142.5</v>
      </c>
      <c r="K13" s="288">
        <v>147030142.5</v>
      </c>
      <c r="L13" s="288">
        <v>147030142.5</v>
      </c>
      <c r="M13" s="299">
        <v>147030142.5</v>
      </c>
      <c r="P13" s="492"/>
      <c r="Q13" s="491"/>
    </row>
    <row r="14" spans="2:29" ht="14.1" customHeight="1" x14ac:dyDescent="0.2">
      <c r="B14" s="155" t="e">
        <f>PyG!#REF!</f>
        <v>#REF!</v>
      </c>
      <c r="C14" s="154" t="e">
        <f>C15-B15</f>
        <v>#REF!</v>
      </c>
      <c r="D14" s="68" t="s">
        <v>29</v>
      </c>
      <c r="E14" s="295"/>
      <c r="F14" s="288"/>
      <c r="G14" s="288"/>
      <c r="H14" s="509"/>
      <c r="I14" s="77" t="s">
        <v>60</v>
      </c>
      <c r="J14" s="295">
        <v>0</v>
      </c>
      <c r="K14" s="288"/>
      <c r="L14" s="288"/>
      <c r="M14" s="299"/>
      <c r="P14" s="491"/>
      <c r="Q14" s="491"/>
    </row>
    <row r="15" spans="2:29" ht="14.1" customHeight="1" x14ac:dyDescent="0.2">
      <c r="B15" s="155" t="e">
        <f>B17+B21+PyG!#REF!</f>
        <v>#REF!</v>
      </c>
      <c r="C15" s="154" t="e">
        <f>#REF!+#REF!</f>
        <v>#REF!</v>
      </c>
      <c r="D15" s="68" t="s">
        <v>30</v>
      </c>
      <c r="E15" s="295">
        <v>590558.80000000005</v>
      </c>
      <c r="F15" s="288">
        <v>369616.91</v>
      </c>
      <c r="G15" s="288">
        <v>615558.79999999993</v>
      </c>
      <c r="H15" s="509">
        <v>494558.79999999993</v>
      </c>
      <c r="I15" s="200" t="s">
        <v>61</v>
      </c>
      <c r="J15" s="295"/>
      <c r="K15" s="288"/>
      <c r="L15" s="288"/>
      <c r="M15" s="299"/>
      <c r="P15" s="491"/>
      <c r="Q15" s="491"/>
    </row>
    <row r="16" spans="2:29" ht="14.1" customHeight="1" x14ac:dyDescent="0.2">
      <c r="D16" s="68" t="s">
        <v>31</v>
      </c>
      <c r="E16" s="295"/>
      <c r="F16" s="288"/>
      <c r="G16" s="288"/>
      <c r="H16" s="509"/>
      <c r="I16" s="200" t="s">
        <v>62</v>
      </c>
      <c r="J16" s="296">
        <f>SUM(J17:J18)</f>
        <v>48160081.109999999</v>
      </c>
      <c r="K16" s="286">
        <f>SUM(K17:K18)</f>
        <v>36988371.540000007</v>
      </c>
      <c r="L16" s="286">
        <f>SUM(L17:L18)</f>
        <v>66074226.319999993</v>
      </c>
      <c r="M16" s="351">
        <f>SUM(M17:M18)</f>
        <v>84824745.060000002</v>
      </c>
      <c r="P16" s="491"/>
      <c r="Q16" s="491"/>
    </row>
    <row r="17" spans="2:29" ht="14.1" customHeight="1" x14ac:dyDescent="0.2">
      <c r="B17" s="156" t="e">
        <f>E17+PAIF!#REF!-PAIF!#REF!+PyG!#REF!</f>
        <v>#REF!</v>
      </c>
      <c r="C17" s="157">
        <f>E17+PAIF!D17-PAIF!H41+PyG!E48</f>
        <v>23701982.530000001</v>
      </c>
      <c r="D17" s="69" t="s">
        <v>32</v>
      </c>
      <c r="E17" s="296">
        <f>SUM(E18:E20)</f>
        <v>24015982.530000001</v>
      </c>
      <c r="F17" s="286">
        <f>SUM(F18:F20)</f>
        <v>23824412.789999999</v>
      </c>
      <c r="G17" s="286">
        <f>SUM(G18:G20)</f>
        <v>23701982.530000001</v>
      </c>
      <c r="H17" s="508">
        <f>SUM(H18:H20)</f>
        <v>23242982.530000001</v>
      </c>
      <c r="I17" s="77" t="s">
        <v>63</v>
      </c>
      <c r="J17" s="295">
        <v>17433569.390000001</v>
      </c>
      <c r="K17" s="288">
        <v>16519171.270000001</v>
      </c>
      <c r="L17" s="288">
        <v>19224983.91</v>
      </c>
      <c r="M17" s="299">
        <f>L17+1875051.87</f>
        <v>21100035.780000001</v>
      </c>
      <c r="N17" s="159">
        <f>IF(J17&gt;=0.2*J12,J17,(J17+0.1*J23))</f>
        <v>19224983.911000002</v>
      </c>
      <c r="O17" s="159">
        <f>IF(J17&gt;=0.2*J12,J17,(J17+0.1*J23))</f>
        <v>19224983.911000002</v>
      </c>
      <c r="P17" s="493"/>
      <c r="Q17" s="491"/>
    </row>
    <row r="18" spans="2:29" ht="14.1" customHeight="1" x14ac:dyDescent="0.2">
      <c r="D18" s="68" t="s">
        <v>33</v>
      </c>
      <c r="E18" s="295">
        <v>20761454.57</v>
      </c>
      <c r="F18" s="288">
        <v>20432332.399999999</v>
      </c>
      <c r="G18" s="288">
        <v>20597454.57</v>
      </c>
      <c r="H18" s="509">
        <v>20433454.57</v>
      </c>
      <c r="I18" s="201" t="s">
        <v>64</v>
      </c>
      <c r="J18" s="295">
        <v>30726511.719999999</v>
      </c>
      <c r="K18" s="288">
        <v>20469200.270000003</v>
      </c>
      <c r="L18" s="288">
        <v>46849242.409999996</v>
      </c>
      <c r="M18" s="299">
        <f>L18+16875466.87</f>
        <v>63724709.280000001</v>
      </c>
      <c r="P18" s="493"/>
      <c r="Q18" s="491"/>
    </row>
    <row r="19" spans="2:29" ht="14.1" customHeight="1" x14ac:dyDescent="0.2">
      <c r="D19" s="68" t="s">
        <v>34</v>
      </c>
      <c r="E19" s="295">
        <v>3254527.96</v>
      </c>
      <c r="F19" s="288">
        <v>3392080.3899999997</v>
      </c>
      <c r="G19" s="288">
        <v>3104527.9600000009</v>
      </c>
      <c r="H19" s="509">
        <v>2809527.9600000009</v>
      </c>
      <c r="I19" s="200" t="s">
        <v>65</v>
      </c>
      <c r="J19" s="296">
        <f>SUM(J20:J21)</f>
        <v>0</v>
      </c>
      <c r="K19" s="286">
        <f>SUM(K20:K21)</f>
        <v>0</v>
      </c>
      <c r="L19" s="286">
        <f>SUM(L20:L21)</f>
        <v>0</v>
      </c>
      <c r="M19" s="351"/>
      <c r="P19" s="491"/>
      <c r="Q19" s="491"/>
    </row>
    <row r="20" spans="2:29" ht="14.1" customHeight="1" x14ac:dyDescent="0.2">
      <c r="D20" s="68" t="s">
        <v>35</v>
      </c>
      <c r="E20" s="295"/>
      <c r="F20" s="288"/>
      <c r="G20" s="288"/>
      <c r="H20" s="509"/>
      <c r="I20" s="201" t="s">
        <v>66</v>
      </c>
      <c r="J20" s="295"/>
      <c r="K20" s="288"/>
      <c r="L20" s="288"/>
      <c r="M20" s="299"/>
      <c r="P20" s="491"/>
      <c r="Q20" s="491"/>
    </row>
    <row r="21" spans="2:29" ht="14.1" customHeight="1" x14ac:dyDescent="0.2">
      <c r="B21" s="156" t="e">
        <f>E21+PAIF!#REF!-PAIF!#REF!+PyG!#REF!</f>
        <v>#REF!</v>
      </c>
      <c r="C21" s="157">
        <f>E21+PAIF!D23-PAIF!H42+PyG!E49</f>
        <v>919813448.28999996</v>
      </c>
      <c r="D21" s="69" t="s">
        <v>36</v>
      </c>
      <c r="E21" s="296">
        <f>SUM(E22:E23)</f>
        <v>797767802.75999999</v>
      </c>
      <c r="F21" s="286">
        <f>SUM(F22:F23)</f>
        <v>833147806.5200001</v>
      </c>
      <c r="G21" s="286">
        <f>SUM(G22:G23)</f>
        <v>924713448.28999972</v>
      </c>
      <c r="H21" s="508">
        <f>SUM(H22:H23)</f>
        <v>1038878130.2999998</v>
      </c>
      <c r="I21" s="77" t="s">
        <v>67</v>
      </c>
      <c r="J21" s="295"/>
      <c r="K21" s="288"/>
      <c r="L21" s="288"/>
      <c r="M21" s="299"/>
      <c r="P21" s="491"/>
      <c r="Q21" s="491"/>
    </row>
    <row r="22" spans="2:29" ht="14.1" customHeight="1" x14ac:dyDescent="0.2">
      <c r="D22" s="68" t="s">
        <v>37</v>
      </c>
      <c r="E22" s="295">
        <v>254940044.08000001</v>
      </c>
      <c r="F22" s="288">
        <v>264311649.63</v>
      </c>
      <c r="G22" s="288">
        <v>286136589.56999993</v>
      </c>
      <c r="H22" s="509">
        <v>296236589.56999993</v>
      </c>
      <c r="I22" s="202" t="s">
        <v>68</v>
      </c>
      <c r="J22" s="295">
        <v>62199432.729999997</v>
      </c>
      <c r="K22" s="288">
        <v>62199432.729999997</v>
      </c>
      <c r="L22" s="288">
        <v>62199432.729999997</v>
      </c>
      <c r="M22" s="299">
        <v>62199432.729999997</v>
      </c>
      <c r="P22" s="494"/>
      <c r="Q22" s="491"/>
    </row>
    <row r="23" spans="2:29" ht="14.1" customHeight="1" x14ac:dyDescent="0.2">
      <c r="D23" s="68" t="s">
        <v>38</v>
      </c>
      <c r="E23" s="295">
        <v>542827758.67999995</v>
      </c>
      <c r="F23" s="288">
        <v>568836156.8900001</v>
      </c>
      <c r="G23" s="288">
        <v>638576858.71999979</v>
      </c>
      <c r="H23" s="509">
        <v>742641540.7299999</v>
      </c>
      <c r="I23" s="200" t="s">
        <v>69</v>
      </c>
      <c r="J23" s="296">
        <v>17914145.210000005</v>
      </c>
      <c r="K23" s="286">
        <v>4091587.3599999947</v>
      </c>
      <c r="L23" s="286">
        <f>+PyG!E86</f>
        <v>18750518.739999995</v>
      </c>
      <c r="M23" s="351">
        <f>PyG!F86</f>
        <v>15447737.199999996</v>
      </c>
      <c r="P23" s="492"/>
      <c r="Q23" s="492"/>
    </row>
    <row r="24" spans="2:29" ht="14.1" customHeight="1" x14ac:dyDescent="0.2">
      <c r="B24" s="156" t="e">
        <f>E24+PAIF!#REF!-PAIF!#REF!</f>
        <v>#REF!</v>
      </c>
      <c r="C24" s="157">
        <f>E24+PAIF!D26-PAIF!H43</f>
        <v>7099415.3499999996</v>
      </c>
      <c r="D24" s="69" t="s">
        <v>39</v>
      </c>
      <c r="E24" s="296">
        <f>SUM(E25:E30)</f>
        <v>7898923.7699999996</v>
      </c>
      <c r="F24" s="286">
        <f>SUM(F25:F30)</f>
        <v>8428074.379999999</v>
      </c>
      <c r="G24" s="286">
        <f>SUM(G25:G30)</f>
        <v>7180860.0099999998</v>
      </c>
      <c r="H24" s="508">
        <f>SUM(H25:H30)</f>
        <v>6568408.5399999991</v>
      </c>
      <c r="I24" s="200" t="s">
        <v>70</v>
      </c>
      <c r="J24" s="295"/>
      <c r="K24" s="288"/>
      <c r="L24" s="288"/>
      <c r="M24" s="299"/>
      <c r="P24" s="495"/>
      <c r="Q24" s="496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2:29" ht="14.1" customHeight="1" x14ac:dyDescent="0.2">
      <c r="D25" s="68" t="s">
        <v>199</v>
      </c>
      <c r="E25" s="295"/>
      <c r="F25" s="288"/>
      <c r="G25" s="288"/>
      <c r="H25" s="509"/>
      <c r="I25" s="238"/>
      <c r="J25" s="90"/>
      <c r="K25" s="65"/>
      <c r="L25" s="65"/>
      <c r="M25" s="533"/>
      <c r="P25" s="491"/>
      <c r="Q25" s="491"/>
    </row>
    <row r="26" spans="2:29" ht="14.1" customHeight="1" x14ac:dyDescent="0.2">
      <c r="D26" s="68" t="s">
        <v>200</v>
      </c>
      <c r="E26" s="295">
        <v>5015386.7</v>
      </c>
      <c r="F26" s="288">
        <v>4875272.38</v>
      </c>
      <c r="G26" s="288">
        <v>4482829.4400000004</v>
      </c>
      <c r="H26" s="509">
        <v>3928733.69</v>
      </c>
      <c r="I26" s="199" t="s">
        <v>71</v>
      </c>
      <c r="J26" s="296">
        <f>SUM(J27:J29)</f>
        <v>0</v>
      </c>
      <c r="K26" s="286">
        <f>SUM(K27:K29)</f>
        <v>0</v>
      </c>
      <c r="L26" s="286">
        <f>SUM(L27:L29)</f>
        <v>0</v>
      </c>
      <c r="M26" s="351"/>
      <c r="P26" s="492"/>
      <c r="Q26" s="491"/>
    </row>
    <row r="27" spans="2:29" ht="14.1" customHeight="1" x14ac:dyDescent="0.2">
      <c r="D27" s="68" t="s">
        <v>201</v>
      </c>
      <c r="E27" s="295"/>
      <c r="F27" s="288"/>
      <c r="G27" s="288"/>
      <c r="H27" s="299"/>
      <c r="I27" s="202" t="s">
        <v>204</v>
      </c>
      <c r="J27" s="295"/>
      <c r="K27" s="288"/>
      <c r="L27" s="288"/>
      <c r="M27" s="299"/>
      <c r="P27" s="491"/>
      <c r="Q27" s="491"/>
    </row>
    <row r="28" spans="2:29" ht="14.1" customHeight="1" x14ac:dyDescent="0.2">
      <c r="D28" s="68" t="s">
        <v>202</v>
      </c>
      <c r="E28" s="295"/>
      <c r="F28" s="288"/>
      <c r="G28" s="288"/>
      <c r="H28" s="299"/>
      <c r="I28" s="202" t="s">
        <v>94</v>
      </c>
      <c r="J28" s="295"/>
      <c r="K28" s="288"/>
      <c r="L28" s="288"/>
      <c r="M28" s="299"/>
      <c r="P28" s="492"/>
      <c r="Q28" s="492"/>
    </row>
    <row r="29" spans="2:29" ht="14.1" customHeight="1" x14ac:dyDescent="0.2">
      <c r="D29" s="68" t="s">
        <v>240</v>
      </c>
      <c r="E29" s="295"/>
      <c r="F29" s="288"/>
      <c r="G29" s="288"/>
      <c r="H29" s="299"/>
      <c r="I29" s="200" t="s">
        <v>95</v>
      </c>
      <c r="J29" s="295"/>
      <c r="K29" s="288"/>
      <c r="L29" s="288"/>
      <c r="M29" s="299"/>
      <c r="P29" s="491"/>
      <c r="Q29" s="491"/>
      <c r="R29" s="140"/>
    </row>
    <row r="30" spans="2:29" ht="14.1" customHeight="1" x14ac:dyDescent="0.2">
      <c r="D30" s="68" t="s">
        <v>239</v>
      </c>
      <c r="E30" s="295">
        <v>2883537.07</v>
      </c>
      <c r="F30" s="288">
        <v>3552802</v>
      </c>
      <c r="G30" s="288">
        <v>2698030.57</v>
      </c>
      <c r="H30" s="509">
        <v>2639674.8499999996</v>
      </c>
      <c r="I30" s="238"/>
      <c r="J30" s="90"/>
      <c r="K30" s="65"/>
      <c r="L30" s="65"/>
      <c r="M30" s="533"/>
      <c r="P30" s="492"/>
      <c r="Q30" s="497"/>
    </row>
    <row r="31" spans="2:29" ht="14.1" customHeight="1" x14ac:dyDescent="0.2">
      <c r="D31" s="69" t="s">
        <v>40</v>
      </c>
      <c r="E31" s="295">
        <v>68204.72</v>
      </c>
      <c r="F31" s="288">
        <v>126598.79</v>
      </c>
      <c r="G31" s="288">
        <f>68204.72-25000</f>
        <v>43204.72</v>
      </c>
      <c r="H31" s="509">
        <f>43204.72-25000</f>
        <v>18204.72</v>
      </c>
      <c r="I31" s="199" t="s">
        <v>72</v>
      </c>
      <c r="J31" s="296">
        <f>SUM(J32:J34)</f>
        <v>850623072.19000006</v>
      </c>
      <c r="K31" s="286">
        <f>SUM(K32:K34)</f>
        <v>793172067.54000008</v>
      </c>
      <c r="L31" s="286">
        <f>SUM(L32:L34)</f>
        <v>885385248.22000003</v>
      </c>
      <c r="M31" s="351">
        <f>SUM(M32:M34)</f>
        <v>954985248.22000003</v>
      </c>
      <c r="N31" s="160" t="e">
        <f>(J31+J48)+PAIF!#REF!-PyG!#REF!-#REF!</f>
        <v>#REF!</v>
      </c>
      <c r="O31" s="157">
        <f>(J31+J48)+PAIF!H29-PyG!E50-L48</f>
        <v>885290842.78000009</v>
      </c>
      <c r="P31" s="498"/>
      <c r="Q31" s="499"/>
      <c r="R31" s="303"/>
      <c r="S31" s="303"/>
    </row>
    <row r="32" spans="2:29" ht="14.1" customHeight="1" x14ac:dyDescent="0.2">
      <c r="D32" s="197"/>
      <c r="E32" s="90"/>
      <c r="F32" s="65"/>
      <c r="G32" s="65"/>
      <c r="H32" s="510"/>
      <c r="I32" s="202" t="s">
        <v>401</v>
      </c>
      <c r="J32" s="295">
        <v>664075633.05000007</v>
      </c>
      <c r="K32" s="288">
        <v>602941434.06000006</v>
      </c>
      <c r="L32" s="288">
        <f>J32-PyG!E50+50000+9000000</f>
        <v>661125633.05000007</v>
      </c>
      <c r="M32" s="299">
        <f>L32-PyG!F50+72000000+50000</f>
        <v>720775633.05000007</v>
      </c>
      <c r="O32" s="158"/>
      <c r="P32" s="492"/>
      <c r="Q32" s="492"/>
      <c r="R32" s="140"/>
      <c r="S32" s="140"/>
      <c r="T32" s="140"/>
      <c r="U32" s="140"/>
    </row>
    <row r="33" spans="1:21" ht="14.1" customHeight="1" x14ac:dyDescent="0.2">
      <c r="D33" s="196" t="s">
        <v>41</v>
      </c>
      <c r="E33" s="503">
        <f>E34+E35+E42+E50+E57+E58</f>
        <v>363523488.28999996</v>
      </c>
      <c r="F33" s="285">
        <f>F34+F35+F42+F50+F57+F58</f>
        <v>240910212.52999997</v>
      </c>
      <c r="G33" s="285">
        <f>G34+G35+G42+G50+G57+G58</f>
        <v>305005333.26000005</v>
      </c>
      <c r="H33" s="507">
        <f>H34+H35+H42+H50+H57+H58</f>
        <v>263546145.14999998</v>
      </c>
      <c r="I33" s="202" t="s">
        <v>233</v>
      </c>
      <c r="J33" s="295">
        <v>8410549.6500000004</v>
      </c>
      <c r="K33" s="288">
        <v>8410549.6500000004</v>
      </c>
      <c r="L33" s="288">
        <f>J33-50000+11732340</f>
        <v>20092889.649999999</v>
      </c>
      <c r="M33" s="299">
        <f>L33-50000</f>
        <v>20042889.649999999</v>
      </c>
      <c r="O33" s="158"/>
      <c r="P33" s="492"/>
      <c r="Q33" s="492"/>
      <c r="R33" s="302"/>
      <c r="S33" s="343"/>
      <c r="T33" s="140"/>
      <c r="U33" s="140"/>
    </row>
    <row r="34" spans="1:21" ht="14.1" customHeight="1" x14ac:dyDescent="0.2">
      <c r="D34" s="69" t="s">
        <v>42</v>
      </c>
      <c r="E34" s="295"/>
      <c r="F34" s="288"/>
      <c r="G34" s="288"/>
      <c r="H34" s="509"/>
      <c r="I34" s="200" t="s">
        <v>234</v>
      </c>
      <c r="J34" s="295">
        <v>178136889.48999998</v>
      </c>
      <c r="K34" s="288">
        <v>181820083.83000001</v>
      </c>
      <c r="L34" s="288">
        <f>J34+26029836.03</f>
        <v>204166725.51999998</v>
      </c>
      <c r="M34" s="299">
        <f>L34+10000000</f>
        <v>214166725.51999998</v>
      </c>
      <c r="P34" s="492"/>
      <c r="Q34" s="492"/>
      <c r="R34" s="140"/>
      <c r="S34" s="343"/>
      <c r="T34" s="140"/>
      <c r="U34" s="140"/>
    </row>
    <row r="35" spans="1:21" ht="14.1" customHeight="1" x14ac:dyDescent="0.2">
      <c r="D35" s="76" t="s">
        <v>43</v>
      </c>
      <c r="E35" s="296">
        <f>SUM(E36:E41)</f>
        <v>25261499.530000001</v>
      </c>
      <c r="F35" s="286">
        <f>SUM(F36:F41)</f>
        <v>21303111.309999995</v>
      </c>
      <c r="G35" s="286">
        <f>SUM(G36:G41)</f>
        <v>22252192.809999999</v>
      </c>
      <c r="H35" s="508">
        <f>SUM(H36:H41)</f>
        <v>21757946.579999998</v>
      </c>
      <c r="I35" s="239"/>
      <c r="J35" s="584"/>
      <c r="K35" s="152"/>
      <c r="L35" s="152"/>
      <c r="M35" s="588"/>
      <c r="P35" s="500"/>
      <c r="Q35" s="500"/>
      <c r="R35" s="303"/>
      <c r="S35" s="140"/>
      <c r="T35" s="140"/>
      <c r="U35" s="140"/>
    </row>
    <row r="36" spans="1:21" ht="14.1" customHeight="1" x14ac:dyDescent="0.2">
      <c r="D36" s="68" t="s">
        <v>106</v>
      </c>
      <c r="E36" s="295"/>
      <c r="F36" s="288"/>
      <c r="G36" s="288"/>
      <c r="H36" s="509"/>
      <c r="I36" s="198" t="s">
        <v>73</v>
      </c>
      <c r="J36" s="503">
        <f>J37+J42+J47+J48+J49</f>
        <v>9856200.4000000004</v>
      </c>
      <c r="K36" s="285">
        <f>K37+K42+K47+K48+K49</f>
        <v>12862043.230000002</v>
      </c>
      <c r="L36" s="285">
        <f>L37+L42+L47+L48+L49</f>
        <v>8904516.0100000016</v>
      </c>
      <c r="M36" s="587">
        <f>M37+M42+M47+M48+M49</f>
        <v>9909516.0100000016</v>
      </c>
      <c r="P36" s="492"/>
      <c r="Q36" s="492"/>
      <c r="R36" s="302"/>
      <c r="S36" s="140"/>
      <c r="T36" s="140"/>
      <c r="U36" s="140"/>
    </row>
    <row r="37" spans="1:21" ht="14.1" customHeight="1" x14ac:dyDescent="0.2">
      <c r="B37" s="615" t="s">
        <v>385</v>
      </c>
      <c r="C37" s="616"/>
      <c r="D37" s="68" t="s">
        <v>107</v>
      </c>
      <c r="E37" s="295">
        <v>25261499.530000001</v>
      </c>
      <c r="F37" s="288">
        <v>21303111.309999995</v>
      </c>
      <c r="G37" s="288">
        <v>22252192.809999999</v>
      </c>
      <c r="H37" s="509">
        <v>21757946.579999998</v>
      </c>
      <c r="I37" s="200" t="s">
        <v>74</v>
      </c>
      <c r="J37" s="296">
        <f>SUM(J38:J41)</f>
        <v>4768634.1399999997</v>
      </c>
      <c r="K37" s="286">
        <f>SUM(K38:K41)</f>
        <v>4790579.5100000026</v>
      </c>
      <c r="L37" s="286">
        <f>SUM(L38:L41)</f>
        <v>2968634.1400000025</v>
      </c>
      <c r="M37" s="351">
        <f>SUM(M38:M41)</f>
        <v>1768634.1400000025</v>
      </c>
      <c r="N37" s="282" t="e">
        <f>(J37+J53)+(#REF!-PyG!#REF!)-PyG!#REF!-PAIF!#REF!</f>
        <v>#REF!</v>
      </c>
      <c r="O37" s="283" t="e">
        <f>(J37+J53)+(#REF!-PyG!E40)-PyG!E51-PAIF!D44</f>
        <v>#REF!</v>
      </c>
      <c r="P37" s="492"/>
      <c r="Q37" s="492"/>
      <c r="R37" s="140"/>
      <c r="S37" s="140"/>
      <c r="T37" s="140"/>
      <c r="U37" s="140"/>
    </row>
    <row r="38" spans="1:21" ht="14.1" customHeight="1" x14ac:dyDescent="0.2">
      <c r="A38" s="83" t="s">
        <v>389</v>
      </c>
      <c r="B38" s="156" t="e">
        <f>(#REF!+#REF!)-(E38+E39)</f>
        <v>#REF!</v>
      </c>
      <c r="C38" s="157">
        <f>(G38+G39)-(E38+E39)</f>
        <v>0</v>
      </c>
      <c r="D38" s="68" t="s">
        <v>108</v>
      </c>
      <c r="E38" s="295"/>
      <c r="F38" s="288"/>
      <c r="G38" s="288">
        <v>0</v>
      </c>
      <c r="H38" s="509"/>
      <c r="I38" s="77" t="s">
        <v>75</v>
      </c>
      <c r="J38" s="295"/>
      <c r="K38" s="288"/>
      <c r="L38" s="288"/>
      <c r="M38" s="299"/>
      <c r="P38" s="492"/>
      <c r="Q38" s="492"/>
      <c r="R38" s="302"/>
      <c r="S38" s="140"/>
      <c r="T38" s="140"/>
      <c r="U38" s="140"/>
    </row>
    <row r="39" spans="1:21" ht="14.1" customHeight="1" x14ac:dyDescent="0.2">
      <c r="A39" s="83" t="s">
        <v>390</v>
      </c>
      <c r="B39" s="156" t="e">
        <f>PyG!#REF!</f>
        <v>#REF!</v>
      </c>
      <c r="C39" s="157">
        <f>PyG!E26</f>
        <v>2472726.84</v>
      </c>
      <c r="D39" s="68" t="s">
        <v>109</v>
      </c>
      <c r="E39" s="295"/>
      <c r="F39" s="288"/>
      <c r="G39" s="288">
        <v>0</v>
      </c>
      <c r="H39" s="509"/>
      <c r="I39" s="77" t="s">
        <v>76</v>
      </c>
      <c r="J39" s="295"/>
      <c r="K39" s="288"/>
      <c r="L39" s="288"/>
      <c r="M39" s="299"/>
      <c r="P39" s="492"/>
      <c r="Q39" s="492"/>
      <c r="R39" s="302"/>
      <c r="S39" s="140"/>
      <c r="T39" s="140"/>
      <c r="U39" s="140"/>
    </row>
    <row r="40" spans="1:21" ht="14.1" customHeight="1" x14ac:dyDescent="0.2">
      <c r="D40" s="68" t="s">
        <v>110</v>
      </c>
      <c r="E40" s="295"/>
      <c r="F40" s="288"/>
      <c r="G40" s="288"/>
      <c r="H40" s="509"/>
      <c r="I40" s="77" t="s">
        <v>77</v>
      </c>
      <c r="J40" s="295"/>
      <c r="K40" s="288"/>
      <c r="L40" s="288"/>
      <c r="M40" s="299"/>
      <c r="P40" s="492"/>
      <c r="Q40" s="492"/>
      <c r="R40" s="302"/>
      <c r="S40" s="140"/>
      <c r="T40" s="140"/>
      <c r="U40" s="140"/>
    </row>
    <row r="41" spans="1:21" ht="14.1" customHeight="1" x14ac:dyDescent="0.2">
      <c r="D41" s="68" t="s">
        <v>245</v>
      </c>
      <c r="E41" s="295"/>
      <c r="F41" s="288"/>
      <c r="G41" s="288"/>
      <c r="H41" s="509"/>
      <c r="I41" s="77" t="s">
        <v>78</v>
      </c>
      <c r="J41" s="295">
        <v>4768634.1399999997</v>
      </c>
      <c r="K41" s="288">
        <v>4790579.5100000026</v>
      </c>
      <c r="L41" s="288">
        <v>2968634.1400000025</v>
      </c>
      <c r="M41" s="299">
        <v>1768634.1400000025</v>
      </c>
      <c r="N41" s="158" t="e">
        <f>#REF!-J41</f>
        <v>#REF!</v>
      </c>
      <c r="P41" s="492"/>
      <c r="Q41" s="492"/>
      <c r="R41" s="302"/>
    </row>
    <row r="42" spans="1:21" ht="14.1" customHeight="1" x14ac:dyDescent="0.2">
      <c r="D42" s="76" t="s">
        <v>44</v>
      </c>
      <c r="E42" s="296">
        <f>SUM(E43:E49)</f>
        <v>169529664.63</v>
      </c>
      <c r="F42" s="286">
        <f>SUM(F43:F49)</f>
        <v>93589938.99000001</v>
      </c>
      <c r="G42" s="286">
        <f>SUM(G43:G49)</f>
        <v>123165288.25000001</v>
      </c>
      <c r="H42" s="508">
        <f>SUM(H43:H49)</f>
        <v>138027313.34</v>
      </c>
      <c r="I42" s="200" t="s">
        <v>79</v>
      </c>
      <c r="J42" s="296">
        <f>SUM(J43:J46)</f>
        <v>2837407.7800000003</v>
      </c>
      <c r="K42" s="286">
        <f>SUM(K43:K46)</f>
        <v>5967766.2000000002</v>
      </c>
      <c r="L42" s="286">
        <f>SUM(L43:L46)</f>
        <v>3591317.95</v>
      </c>
      <c r="M42" s="351">
        <f>SUM(M43:M46)</f>
        <v>5591317.9500000002</v>
      </c>
      <c r="P42" s="492"/>
      <c r="Q42" s="492"/>
      <c r="R42" s="92"/>
    </row>
    <row r="43" spans="1:21" ht="14.1" customHeight="1" x14ac:dyDescent="0.2">
      <c r="D43" s="73" t="s">
        <v>45</v>
      </c>
      <c r="E43" s="295">
        <v>5766770.9199999999</v>
      </c>
      <c r="F43" s="288">
        <v>6447165.290000001</v>
      </c>
      <c r="G43" s="288">
        <v>7113058.8099999996</v>
      </c>
      <c r="H43" s="299">
        <v>8583058.8100000005</v>
      </c>
      <c r="I43" s="77" t="s">
        <v>80</v>
      </c>
      <c r="J43" s="295"/>
      <c r="K43" s="288"/>
      <c r="L43" s="288"/>
      <c r="M43" s="299"/>
      <c r="P43" s="492"/>
      <c r="Q43" s="492"/>
      <c r="R43" s="140"/>
    </row>
    <row r="44" spans="1:21" ht="14.1" customHeight="1" x14ac:dyDescent="0.2">
      <c r="D44" s="73" t="s">
        <v>236</v>
      </c>
      <c r="E44" s="295">
        <v>162233612.42000002</v>
      </c>
      <c r="F44" s="288">
        <v>82740821</v>
      </c>
      <c r="G44" s="288">
        <f>111724458.36-140035.82+200517.79</f>
        <v>111784940.33000001</v>
      </c>
      <c r="H44" s="509">
        <f>126669060.89+23225.64</f>
        <v>126692286.53</v>
      </c>
      <c r="I44" s="77" t="s">
        <v>205</v>
      </c>
      <c r="J44" s="295">
        <v>1722340.24</v>
      </c>
      <c r="K44" s="288">
        <v>3467766.2</v>
      </c>
      <c r="L44" s="288">
        <v>2791317.95</v>
      </c>
      <c r="M44" s="299">
        <v>4591317.95</v>
      </c>
      <c r="P44" s="500"/>
      <c r="Q44" s="500"/>
      <c r="R44" s="359"/>
    </row>
    <row r="45" spans="1:21" ht="14.1" customHeight="1" x14ac:dyDescent="0.2">
      <c r="D45" s="73" t="s">
        <v>46</v>
      </c>
      <c r="E45" s="295">
        <v>1452223.94</v>
      </c>
      <c r="F45" s="288">
        <v>3883952.7</v>
      </c>
      <c r="G45" s="288">
        <f>1472205.11+2346468</f>
        <v>3818673.1100000003</v>
      </c>
      <c r="H45" s="299">
        <f>2346468+1000</f>
        <v>2347468</v>
      </c>
      <c r="I45" s="77" t="s">
        <v>206</v>
      </c>
      <c r="J45" s="295"/>
      <c r="K45" s="288"/>
      <c r="L45" s="288"/>
      <c r="M45" s="299"/>
      <c r="P45" s="491"/>
      <c r="Q45" s="491"/>
    </row>
    <row r="46" spans="1:21" ht="14.1" customHeight="1" x14ac:dyDescent="0.2">
      <c r="D46" s="68" t="s">
        <v>47</v>
      </c>
      <c r="E46" s="295">
        <v>68073.19</v>
      </c>
      <c r="F46" s="288">
        <v>500000</v>
      </c>
      <c r="G46" s="288">
        <v>80000</v>
      </c>
      <c r="H46" s="299">
        <v>80000</v>
      </c>
      <c r="I46" s="77" t="s">
        <v>207</v>
      </c>
      <c r="J46" s="295">
        <v>1115067.54</v>
      </c>
      <c r="K46" s="288">
        <v>2500000</v>
      </c>
      <c r="L46" s="288">
        <v>800000</v>
      </c>
      <c r="M46" s="299">
        <v>1000000</v>
      </c>
      <c r="P46" s="500"/>
      <c r="Q46" s="491"/>
    </row>
    <row r="47" spans="1:21" ht="14.1" customHeight="1" x14ac:dyDescent="0.2">
      <c r="D47" s="68" t="s">
        <v>48</v>
      </c>
      <c r="E47" s="295">
        <v>8984.16</v>
      </c>
      <c r="F47" s="288">
        <v>18000</v>
      </c>
      <c r="G47" s="288">
        <f>6898.97*0+368616</f>
        <v>368616</v>
      </c>
      <c r="H47" s="509">
        <v>324500</v>
      </c>
      <c r="I47" s="200" t="s">
        <v>237</v>
      </c>
      <c r="J47" s="296"/>
      <c r="K47" s="286"/>
      <c r="L47" s="286"/>
      <c r="M47" s="351"/>
      <c r="N47" s="160" t="e">
        <f>(J47+J59)+PAIF!#REF!-PAIF!#REF!</f>
        <v>#REF!</v>
      </c>
      <c r="O47" s="157">
        <f>(J47+J59)+PAIF!H36-PAIF!D41</f>
        <v>276880.51</v>
      </c>
      <c r="P47" s="491"/>
      <c r="Q47" s="491"/>
    </row>
    <row r="48" spans="1:21" ht="14.1" customHeight="1" x14ac:dyDescent="0.2">
      <c r="D48" s="68" t="s">
        <v>49</v>
      </c>
      <c r="E48" s="295"/>
      <c r="F48" s="288"/>
      <c r="G48" s="288">
        <v>0</v>
      </c>
      <c r="H48" s="509"/>
      <c r="I48" s="200" t="s">
        <v>81</v>
      </c>
      <c r="J48" s="295">
        <v>2250158.48</v>
      </c>
      <c r="K48" s="288">
        <v>2103697.52</v>
      </c>
      <c r="L48" s="288">
        <f>J48+94405.44</f>
        <v>2344563.92</v>
      </c>
      <c r="M48" s="299">
        <f>L48+205000</f>
        <v>2549563.92</v>
      </c>
      <c r="P48" s="494"/>
      <c r="Q48" s="491"/>
    </row>
    <row r="49" spans="4:17" ht="14.1" customHeight="1" x14ac:dyDescent="0.2">
      <c r="D49" s="73" t="s">
        <v>50</v>
      </c>
      <c r="E49" s="295"/>
      <c r="F49" s="288"/>
      <c r="G49" s="288"/>
      <c r="H49" s="509"/>
      <c r="I49" s="200" t="s">
        <v>208</v>
      </c>
      <c r="J49" s="295"/>
      <c r="K49" s="288"/>
      <c r="L49" s="288"/>
      <c r="M49" s="299"/>
      <c r="P49" s="494"/>
      <c r="Q49" s="491"/>
    </row>
    <row r="50" spans="4:17" ht="14.1" customHeight="1" x14ac:dyDescent="0.2">
      <c r="D50" s="76" t="s">
        <v>51</v>
      </c>
      <c r="E50" s="296">
        <f>SUM(E51:E56)</f>
        <v>140035.82</v>
      </c>
      <c r="F50" s="286">
        <f>SUM(F51:F56)</f>
        <v>140035.82</v>
      </c>
      <c r="G50" s="286">
        <f>SUM(G51:G56)</f>
        <v>140035.82</v>
      </c>
      <c r="H50" s="508">
        <f>SUM(H51:H56)</f>
        <v>140035.82</v>
      </c>
      <c r="I50" s="203"/>
      <c r="J50" s="90"/>
      <c r="K50" s="65"/>
      <c r="L50" s="65"/>
      <c r="M50" s="533"/>
      <c r="P50" s="491"/>
      <c r="Q50" s="491"/>
    </row>
    <row r="51" spans="4:17" ht="14.1" customHeight="1" x14ac:dyDescent="0.2">
      <c r="D51" s="68" t="s">
        <v>199</v>
      </c>
      <c r="E51" s="295"/>
      <c r="F51" s="288"/>
      <c r="G51" s="288"/>
      <c r="H51" s="509"/>
      <c r="I51" s="105" t="s">
        <v>82</v>
      </c>
      <c r="J51" s="503">
        <f>J52+J53+J54+J59+J60+J68</f>
        <v>58081886.730000004</v>
      </c>
      <c r="K51" s="285">
        <f>K52+K53+K54+K59+K60+K68</f>
        <v>50463077.019999996</v>
      </c>
      <c r="L51" s="285">
        <f>L52+L53+L54+L59+L60+L68</f>
        <v>72916303.090000004</v>
      </c>
      <c r="M51" s="587">
        <f>M52+M53+M54+M59+M60+M68</f>
        <v>58351608.32</v>
      </c>
      <c r="P51" s="491"/>
      <c r="Q51" s="491"/>
    </row>
    <row r="52" spans="4:17" ht="14.1" customHeight="1" x14ac:dyDescent="0.2">
      <c r="D52" s="68" t="s">
        <v>200</v>
      </c>
      <c r="E52" s="295"/>
      <c r="F52" s="288"/>
      <c r="G52" s="288"/>
      <c r="H52" s="509"/>
      <c r="I52" s="200" t="s">
        <v>83</v>
      </c>
      <c r="J52" s="295"/>
      <c r="K52" s="288"/>
      <c r="L52" s="288"/>
      <c r="M52" s="299"/>
      <c r="P52" s="491"/>
      <c r="Q52" s="491"/>
    </row>
    <row r="53" spans="4:17" ht="14.1" customHeight="1" x14ac:dyDescent="0.2">
      <c r="D53" s="68" t="s">
        <v>201</v>
      </c>
      <c r="E53" s="295"/>
      <c r="F53" s="288"/>
      <c r="G53" s="288"/>
      <c r="H53" s="509"/>
      <c r="I53" s="200" t="s">
        <v>84</v>
      </c>
      <c r="J53" s="295"/>
      <c r="K53" s="288"/>
      <c r="L53" s="288"/>
      <c r="M53" s="299"/>
      <c r="P53" s="494"/>
      <c r="Q53" s="491"/>
    </row>
    <row r="54" spans="4:17" ht="14.1" customHeight="1" x14ac:dyDescent="0.2">
      <c r="D54" s="68" t="s">
        <v>202</v>
      </c>
      <c r="E54" s="295"/>
      <c r="F54" s="288"/>
      <c r="G54" s="288"/>
      <c r="H54" s="509"/>
      <c r="I54" s="200" t="s">
        <v>85</v>
      </c>
      <c r="J54" s="296">
        <f>SUM(J55:J58)</f>
        <v>271713.84000000003</v>
      </c>
      <c r="K54" s="286">
        <f>SUM(K55:K58)</f>
        <v>5000</v>
      </c>
      <c r="L54" s="286">
        <f>SUM(L55:L58)</f>
        <v>400000</v>
      </c>
      <c r="M54" s="351">
        <f>SUM(M55:M58)</f>
        <v>500000</v>
      </c>
      <c r="P54" s="491"/>
      <c r="Q54" s="491"/>
    </row>
    <row r="55" spans="4:17" ht="14.1" customHeight="1" x14ac:dyDescent="0.2">
      <c r="D55" s="68" t="s">
        <v>240</v>
      </c>
      <c r="E55" s="295">
        <v>140035.82</v>
      </c>
      <c r="F55" s="288">
        <v>140035.82</v>
      </c>
      <c r="G55" s="288">
        <v>140035.82</v>
      </c>
      <c r="H55" s="509">
        <v>140035.82</v>
      </c>
      <c r="I55" s="77" t="s">
        <v>80</v>
      </c>
      <c r="J55" s="295"/>
      <c r="K55" s="288">
        <v>0</v>
      </c>
      <c r="L55" s="288">
        <v>0</v>
      </c>
      <c r="M55" s="299"/>
      <c r="P55" s="491"/>
      <c r="Q55" s="491"/>
    </row>
    <row r="56" spans="4:17" ht="14.1" customHeight="1" x14ac:dyDescent="0.2">
      <c r="D56" s="68" t="s">
        <v>239</v>
      </c>
      <c r="E56" s="295"/>
      <c r="F56" s="288"/>
      <c r="G56" s="288"/>
      <c r="H56" s="509"/>
      <c r="I56" s="77" t="s">
        <v>205</v>
      </c>
      <c r="J56" s="295">
        <v>271713.84000000003</v>
      </c>
      <c r="K56" s="288"/>
      <c r="L56" s="288">
        <v>400000</v>
      </c>
      <c r="M56" s="299">
        <v>500000</v>
      </c>
      <c r="P56" s="492"/>
      <c r="Q56" s="491"/>
    </row>
    <row r="57" spans="4:17" ht="14.1" customHeight="1" x14ac:dyDescent="0.2">
      <c r="D57" s="76" t="s">
        <v>203</v>
      </c>
      <c r="E57" s="296">
        <v>2191317.9500000002</v>
      </c>
      <c r="F57" s="286">
        <v>4020312.5</v>
      </c>
      <c r="G57" s="286">
        <v>3191317.95</v>
      </c>
      <c r="H57" s="508">
        <v>5091317.95</v>
      </c>
      <c r="I57" s="77" t="s">
        <v>206</v>
      </c>
      <c r="J57" s="295"/>
      <c r="K57" s="288"/>
      <c r="L57" s="288"/>
      <c r="M57" s="299"/>
      <c r="P57" s="491"/>
      <c r="Q57" s="491"/>
    </row>
    <row r="58" spans="4:17" ht="14.1" customHeight="1" x14ac:dyDescent="0.2">
      <c r="D58" s="76" t="s">
        <v>52</v>
      </c>
      <c r="E58" s="296">
        <f>SUM(E59:E60)</f>
        <v>166400970.36000001</v>
      </c>
      <c r="F58" s="286">
        <f>SUM(F59:F60)</f>
        <v>121856813.90999997</v>
      </c>
      <c r="G58" s="286">
        <f>SUM(G59:G60)</f>
        <v>156256498.43000007</v>
      </c>
      <c r="H58" s="508">
        <f>SUM(H59:H60)</f>
        <v>98529531.459999993</v>
      </c>
      <c r="I58" s="77" t="s">
        <v>207</v>
      </c>
      <c r="J58" s="295"/>
      <c r="K58" s="288">
        <v>5000</v>
      </c>
      <c r="L58" s="288"/>
      <c r="M58" s="299"/>
      <c r="P58" s="491"/>
      <c r="Q58" s="491"/>
    </row>
    <row r="59" spans="4:17" ht="14.1" customHeight="1" x14ac:dyDescent="0.2">
      <c r="D59" s="73" t="s">
        <v>53</v>
      </c>
      <c r="E59" s="295">
        <v>166400970.36000001</v>
      </c>
      <c r="F59" s="288">
        <v>121856813.90999997</v>
      </c>
      <c r="G59" s="288">
        <v>156256498.43000007</v>
      </c>
      <c r="H59" s="509">
        <f>103529531.46-5000000</f>
        <v>98529531.459999993</v>
      </c>
      <c r="I59" s="200" t="s">
        <v>266</v>
      </c>
      <c r="J59" s="295">
        <v>276880.51</v>
      </c>
      <c r="K59" s="288">
        <v>58392.46</v>
      </c>
      <c r="L59" s="288">
        <v>58392.46</v>
      </c>
      <c r="M59" s="299">
        <v>58392.46</v>
      </c>
      <c r="P59" s="491"/>
      <c r="Q59" s="491"/>
    </row>
    <row r="60" spans="4:17" ht="14.1" customHeight="1" x14ac:dyDescent="0.2">
      <c r="D60" s="73" t="s">
        <v>54</v>
      </c>
      <c r="E60" s="295"/>
      <c r="F60" s="288"/>
      <c r="G60" s="288"/>
      <c r="H60" s="509"/>
      <c r="I60" s="200" t="s">
        <v>86</v>
      </c>
      <c r="J60" s="296">
        <f>SUM(J61:J67)</f>
        <v>28850250.309999999</v>
      </c>
      <c r="K60" s="286">
        <f>SUM(K61:K67)</f>
        <v>36006459.469999999</v>
      </c>
      <c r="L60" s="286">
        <f>SUM(L61:L67)</f>
        <v>47265500</v>
      </c>
      <c r="M60" s="351">
        <f>SUM(M61:M67)</f>
        <v>46805500</v>
      </c>
      <c r="P60" s="492"/>
      <c r="Q60" s="492"/>
    </row>
    <row r="61" spans="4:17" ht="14.1" customHeight="1" x14ac:dyDescent="0.2">
      <c r="D61" s="78"/>
      <c r="E61" s="348"/>
      <c r="F61" s="112"/>
      <c r="G61" s="112"/>
      <c r="H61" s="511"/>
      <c r="I61" s="77" t="s">
        <v>87</v>
      </c>
      <c r="J61" s="295">
        <v>20431357.52</v>
      </c>
      <c r="K61" s="288">
        <v>24645393.530000001</v>
      </c>
      <c r="L61" s="288">
        <v>15000000</v>
      </c>
      <c r="M61" s="299">
        <v>17000000</v>
      </c>
      <c r="P61" s="492"/>
      <c r="Q61" s="491"/>
    </row>
    <row r="62" spans="4:17" ht="14.1" customHeight="1" x14ac:dyDescent="0.2">
      <c r="D62" s="78"/>
      <c r="E62" s="349"/>
      <c r="F62" s="98"/>
      <c r="G62" s="98"/>
      <c r="H62" s="99"/>
      <c r="I62" s="77" t="s">
        <v>357</v>
      </c>
      <c r="J62" s="295"/>
      <c r="K62" s="288"/>
      <c r="L62" s="288"/>
      <c r="M62" s="299"/>
      <c r="P62" s="492"/>
      <c r="Q62" s="492"/>
    </row>
    <row r="63" spans="4:17" ht="14.1" customHeight="1" x14ac:dyDescent="0.2">
      <c r="D63" s="78"/>
      <c r="E63" s="349"/>
      <c r="F63" s="98"/>
      <c r="G63" s="98"/>
      <c r="H63" s="99"/>
      <c r="I63" s="77" t="s">
        <v>88</v>
      </c>
      <c r="J63" s="295">
        <v>6492112.54</v>
      </c>
      <c r="K63" s="288">
        <v>8981233.5399999991</v>
      </c>
      <c r="L63" s="288">
        <v>30500000</v>
      </c>
      <c r="M63" s="299">
        <v>28000000</v>
      </c>
      <c r="P63" s="491"/>
      <c r="Q63" s="491"/>
    </row>
    <row r="64" spans="4:17" ht="14.1" customHeight="1" x14ac:dyDescent="0.2">
      <c r="D64" s="78"/>
      <c r="E64" s="349"/>
      <c r="F64" s="98"/>
      <c r="G64" s="98"/>
      <c r="H64" s="99"/>
      <c r="I64" s="77" t="s">
        <v>89</v>
      </c>
      <c r="J64" s="295">
        <v>229319.96</v>
      </c>
      <c r="K64" s="288">
        <v>600000</v>
      </c>
      <c r="L64" s="288">
        <v>265000</v>
      </c>
      <c r="M64" s="299">
        <v>305000</v>
      </c>
      <c r="P64" s="491"/>
      <c r="Q64" s="491"/>
    </row>
    <row r="65" spans="4:17" ht="14.1" customHeight="1" x14ac:dyDescent="0.2">
      <c r="D65" s="78"/>
      <c r="E65" s="349"/>
      <c r="F65" s="98"/>
      <c r="G65" s="98"/>
      <c r="H65" s="99"/>
      <c r="I65" s="77" t="s">
        <v>90</v>
      </c>
      <c r="J65" s="295"/>
      <c r="K65" s="288"/>
      <c r="L65" s="288"/>
      <c r="M65" s="299"/>
      <c r="P65" s="491"/>
      <c r="Q65" s="491"/>
    </row>
    <row r="66" spans="4:17" ht="14.1" customHeight="1" x14ac:dyDescent="0.2">
      <c r="D66" s="78"/>
      <c r="E66" s="349"/>
      <c r="F66" s="98"/>
      <c r="G66" s="98"/>
      <c r="H66" s="99"/>
      <c r="I66" s="77" t="s">
        <v>91</v>
      </c>
      <c r="J66" s="295">
        <v>1692835.18</v>
      </c>
      <c r="K66" s="288">
        <v>1750000</v>
      </c>
      <c r="L66" s="288">
        <v>1500000</v>
      </c>
      <c r="M66" s="299">
        <v>1500000</v>
      </c>
      <c r="P66" s="491"/>
      <c r="Q66" s="491"/>
    </row>
    <row r="67" spans="4:17" ht="14.1" customHeight="1" x14ac:dyDescent="0.2">
      <c r="D67" s="78"/>
      <c r="E67" s="349"/>
      <c r="F67" s="98"/>
      <c r="G67" s="98"/>
      <c r="H67" s="99"/>
      <c r="I67" s="77" t="s">
        <v>92</v>
      </c>
      <c r="J67" s="295">
        <v>4625.1099999999997</v>
      </c>
      <c r="K67" s="288">
        <v>29832.400000000001</v>
      </c>
      <c r="L67" s="288">
        <v>500</v>
      </c>
      <c r="M67" s="299">
        <v>500</v>
      </c>
      <c r="P67" s="491"/>
      <c r="Q67" s="491"/>
    </row>
    <row r="68" spans="4:17" ht="14.1" customHeight="1" x14ac:dyDescent="0.2">
      <c r="D68" s="78"/>
      <c r="E68" s="349"/>
      <c r="F68" s="98"/>
      <c r="G68" s="98"/>
      <c r="H68" s="99"/>
      <c r="I68" s="200" t="s">
        <v>209</v>
      </c>
      <c r="J68" s="295">
        <v>28683042.07</v>
      </c>
      <c r="K68" s="288">
        <v>14393225.09</v>
      </c>
      <c r="L68" s="288">
        <v>25192410.629999999</v>
      </c>
      <c r="M68" s="299">
        <v>10987715.860000001</v>
      </c>
      <c r="P68" s="497"/>
      <c r="Q68" s="491"/>
    </row>
    <row r="69" spans="4:17" ht="14.1" customHeight="1" thickBot="1" x14ac:dyDescent="0.25">
      <c r="D69" s="78"/>
      <c r="E69" s="349"/>
      <c r="F69" s="98"/>
      <c r="G69" s="98"/>
      <c r="H69" s="99"/>
      <c r="I69" s="239"/>
      <c r="J69" s="585"/>
      <c r="K69" s="153"/>
      <c r="L69" s="590"/>
      <c r="M69" s="589"/>
      <c r="P69" s="491"/>
      <c r="Q69" s="491"/>
    </row>
    <row r="70" spans="4:17" ht="16.5" thickBot="1" x14ac:dyDescent="0.25">
      <c r="D70" s="79" t="s">
        <v>55</v>
      </c>
      <c r="E70" s="504">
        <f>E10+E33</f>
        <v>1193864960.8699999</v>
      </c>
      <c r="F70" s="513">
        <f>F10+F33</f>
        <v>1106806721.9200001</v>
      </c>
      <c r="G70" s="513">
        <f>G10+G33</f>
        <v>1261260387.6099999</v>
      </c>
      <c r="H70" s="512">
        <f>H10+H33</f>
        <v>1332748430.04</v>
      </c>
      <c r="I70" s="80" t="s">
        <v>93</v>
      </c>
      <c r="J70" s="504">
        <f>J10+J36+J51</f>
        <v>1193864960.8700001</v>
      </c>
      <c r="K70" s="513">
        <f>K10+K36+K51</f>
        <v>1106806721.9200001</v>
      </c>
      <c r="L70" s="513">
        <f>L10+L36+L51</f>
        <v>1261260387.6099999</v>
      </c>
      <c r="M70" s="512">
        <f>M10+M36+M51</f>
        <v>1332748430.04</v>
      </c>
      <c r="P70" s="491"/>
      <c r="Q70" s="491"/>
    </row>
    <row r="71" spans="4:17" x14ac:dyDescent="0.2">
      <c r="D71" s="74"/>
      <c r="E71" s="74"/>
      <c r="F71" s="74"/>
      <c r="G71" s="294"/>
      <c r="H71" s="294"/>
      <c r="I71" s="74"/>
      <c r="J71" s="74"/>
      <c r="K71" s="74"/>
      <c r="L71" s="294">
        <f>L70-G70</f>
        <v>0</v>
      </c>
      <c r="M71" s="294">
        <f>M70-H70</f>
        <v>0</v>
      </c>
    </row>
    <row r="72" spans="4:17" x14ac:dyDescent="0.2">
      <c r="E72" s="361"/>
      <c r="F72" s="361"/>
    </row>
    <row r="73" spans="4:17" x14ac:dyDescent="0.2">
      <c r="E73" s="361"/>
      <c r="F73" s="361"/>
    </row>
    <row r="74" spans="4:17" x14ac:dyDescent="0.2">
      <c r="E74" s="361"/>
      <c r="F74" s="361"/>
    </row>
    <row r="75" spans="4:17" x14ac:dyDescent="0.2">
      <c r="E75" s="361"/>
      <c r="F75" s="361"/>
    </row>
    <row r="76" spans="4:17" x14ac:dyDescent="0.2">
      <c r="E76" s="361"/>
      <c r="F76" s="361"/>
    </row>
    <row r="77" spans="4:17" x14ac:dyDescent="0.2">
      <c r="E77" s="361"/>
    </row>
  </sheetData>
  <mergeCells count="5">
    <mergeCell ref="O7:O8"/>
    <mergeCell ref="B37:C37"/>
    <mergeCell ref="D7:D8"/>
    <mergeCell ref="I7:I8"/>
    <mergeCell ref="C9:C10"/>
  </mergeCells>
  <phoneticPr fontId="0" type="noConversion"/>
  <conditionalFormatting sqref="N31">
    <cfRule type="cellIs" dxfId="97" priority="2" stopIfTrue="1" operator="notEqual">
      <formula>#REF!+#REF!</formula>
    </cfRule>
  </conditionalFormatting>
  <conditionalFormatting sqref="N47">
    <cfRule type="cellIs" dxfId="96" priority="3" stopIfTrue="1" operator="notEqual">
      <formula>#REF!+#REF!</formula>
    </cfRule>
  </conditionalFormatting>
  <conditionalFormatting sqref="O47">
    <cfRule type="cellIs" dxfId="95" priority="4" stopIfTrue="1" operator="notEqual">
      <formula>$L$47+$L$59</formula>
    </cfRule>
  </conditionalFormatting>
  <conditionalFormatting sqref="O31">
    <cfRule type="cellIs" dxfId="94" priority="13" stopIfTrue="1" operator="notEqual">
      <formula>$L$31+$L$48</formula>
    </cfRule>
  </conditionalFormatting>
  <conditionalFormatting sqref="N12">
    <cfRule type="cellIs" dxfId="93" priority="16" stopIfTrue="1" operator="notEqual">
      <formula>#REF!</formula>
    </cfRule>
  </conditionalFormatting>
  <conditionalFormatting sqref="O12">
    <cfRule type="cellIs" dxfId="92" priority="17" stopIfTrue="1" operator="notEqual">
      <formula>$L$12</formula>
    </cfRule>
  </conditionalFormatting>
  <printOptions horizontalCentered="1" verticalCentered="1"/>
  <pageMargins left="0.27559055118110237" right="0.15748031496062992" top="0.59055118110236227" bottom="0.70866141732283472" header="0" footer="0.39370078740157483"/>
  <pageSetup paperSize="9" scale="50" orientation="landscape" cellComments="asDisplayed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02"/>
  <sheetViews>
    <sheetView showZeros="0" topLeftCell="A57" zoomScale="90" zoomScaleNormal="90" zoomScaleSheetLayoutView="75" workbookViewId="0">
      <selection activeCell="H126" sqref="H126"/>
    </sheetView>
  </sheetViews>
  <sheetFormatPr baseColWidth="10" defaultRowHeight="12.75" x14ac:dyDescent="0.2"/>
  <cols>
    <col min="1" max="1" width="16.140625" style="58" customWidth="1"/>
    <col min="2" max="2" width="53.7109375" style="58" customWidth="1"/>
    <col min="3" max="4" width="24.140625" style="58" customWidth="1"/>
    <col min="5" max="7" width="20.7109375" style="58" customWidth="1"/>
    <col min="8" max="8" width="53.140625" style="58" customWidth="1"/>
    <col min="9" max="10" width="11.42578125" style="58" customWidth="1"/>
    <col min="11" max="12" width="11.42578125" style="58"/>
    <col min="13" max="13" width="11.7109375" style="58" bestFit="1" customWidth="1"/>
    <col min="14" max="16384" width="11.42578125" style="58"/>
  </cols>
  <sheetData>
    <row r="1" spans="2:11" ht="15" customHeight="1" x14ac:dyDescent="0.2">
      <c r="D1" s="374" t="s">
        <v>410</v>
      </c>
    </row>
    <row r="2" spans="2:11" ht="15" customHeight="1" x14ac:dyDescent="0.2"/>
    <row r="3" spans="2:11" ht="22.5" customHeight="1" x14ac:dyDescent="0.2">
      <c r="B3" s="620" t="s">
        <v>328</v>
      </c>
      <c r="C3" s="620"/>
      <c r="D3" s="620"/>
      <c r="E3" s="620"/>
      <c r="F3" s="386"/>
    </row>
    <row r="4" spans="2:11" ht="18" customHeight="1" x14ac:dyDescent="0.2">
      <c r="B4" s="206"/>
      <c r="C4" s="206"/>
      <c r="D4" s="60"/>
    </row>
    <row r="5" spans="2:11" ht="18" customHeight="1" x14ac:dyDescent="0.2">
      <c r="B5" s="204"/>
      <c r="C5" s="204"/>
      <c r="D5" s="60"/>
      <c r="F5" s="140"/>
    </row>
    <row r="6" spans="2:11" ht="18" customHeight="1" x14ac:dyDescent="0.2">
      <c r="B6" s="204"/>
      <c r="C6" s="204"/>
      <c r="D6" s="60"/>
    </row>
    <row r="7" spans="2:11" ht="18" customHeight="1" x14ac:dyDescent="0.2">
      <c r="B7" s="204" t="str">
        <f>BAL!D5</f>
        <v>SOCIEDAD: EMPRESA MUNICIPAL DE LA VIVIENDA Y SUELO DE MADRID S.A.</v>
      </c>
      <c r="C7" s="204"/>
      <c r="D7" s="60"/>
    </row>
    <row r="8" spans="2:11" ht="5.0999999999999996" customHeight="1" thickBot="1" x14ac:dyDescent="0.25">
      <c r="B8" s="60"/>
      <c r="C8" s="60"/>
      <c r="D8" s="60"/>
      <c r="E8" s="59"/>
      <c r="F8" s="59"/>
    </row>
    <row r="9" spans="2:11" ht="15.75" x14ac:dyDescent="0.2">
      <c r="B9" s="81"/>
      <c r="C9" s="523" t="s">
        <v>407</v>
      </c>
      <c r="D9" s="55" t="s">
        <v>4</v>
      </c>
      <c r="E9" s="479" t="str">
        <f>+BAL!G7</f>
        <v>PREVISIÓN CIERRE</v>
      </c>
      <c r="F9" s="64" t="str">
        <f>+BAL!H7</f>
        <v>PRESUPUESTO</v>
      </c>
      <c r="G9" s="619"/>
      <c r="H9" s="619"/>
    </row>
    <row r="10" spans="2:11" ht="16.5" thickBot="1" x14ac:dyDescent="0.25">
      <c r="B10" s="82"/>
      <c r="C10" s="524">
        <v>44926</v>
      </c>
      <c r="D10" s="209" t="str">
        <f>+BAL!K8</f>
        <v>2022-2023</v>
      </c>
      <c r="E10" s="237">
        <f>+BAL!G8</f>
        <v>45291</v>
      </c>
      <c r="F10" s="531">
        <f>+BAL!H8</f>
        <v>45657</v>
      </c>
      <c r="G10" s="88"/>
      <c r="H10" s="88"/>
    </row>
    <row r="11" spans="2:11" ht="14.1" customHeight="1" thickTop="1" x14ac:dyDescent="0.2">
      <c r="B11" s="89"/>
      <c r="C11" s="525"/>
      <c r="D11" s="97"/>
      <c r="E11" s="535"/>
      <c r="F11" s="532"/>
      <c r="G11" s="59"/>
      <c r="H11" s="59"/>
    </row>
    <row r="12" spans="2:11" ht="14.1" customHeight="1" x14ac:dyDescent="0.2">
      <c r="B12" s="71" t="s">
        <v>96</v>
      </c>
      <c r="C12" s="526"/>
      <c r="D12" s="65"/>
      <c r="E12" s="65"/>
      <c r="F12" s="533"/>
      <c r="G12" s="59"/>
      <c r="H12" s="59"/>
    </row>
    <row r="13" spans="2:11" ht="14.1" customHeight="1" x14ac:dyDescent="0.2">
      <c r="B13" s="205" t="s">
        <v>97</v>
      </c>
      <c r="C13" s="296">
        <f>C14+C19</f>
        <v>16569288.719999999</v>
      </c>
      <c r="D13" s="286">
        <f>D14+D19</f>
        <v>15831507.83</v>
      </c>
      <c r="E13" s="286">
        <f>E14+E19</f>
        <v>20587833.169999998</v>
      </c>
      <c r="F13" s="286">
        <f>F14+F19</f>
        <v>26000000</v>
      </c>
      <c r="G13" s="337"/>
      <c r="H13" s="59"/>
    </row>
    <row r="14" spans="2:11" ht="14.1" customHeight="1" x14ac:dyDescent="0.2">
      <c r="B14" s="67" t="s">
        <v>98</v>
      </c>
      <c r="C14" s="296">
        <f>SUM(C15:C18)</f>
        <v>15966133.6</v>
      </c>
      <c r="D14" s="286">
        <f>SUM(D15:D18)</f>
        <v>14750000</v>
      </c>
      <c r="E14" s="286">
        <f>SUM(E15:E18)</f>
        <v>20019138.469999999</v>
      </c>
      <c r="F14" s="286">
        <f>SUM(F15:F18)</f>
        <v>24000000</v>
      </c>
      <c r="G14" s="59"/>
      <c r="H14" s="59"/>
    </row>
    <row r="15" spans="2:11" ht="14.1" customHeight="1" x14ac:dyDescent="0.2">
      <c r="B15" s="107" t="s">
        <v>397</v>
      </c>
      <c r="C15" s="295"/>
      <c r="D15" s="288"/>
      <c r="E15" s="288">
        <v>786454.34</v>
      </c>
      <c r="F15" s="288">
        <v>3000000</v>
      </c>
      <c r="G15" s="517"/>
      <c r="H15" s="517"/>
      <c r="I15" s="497"/>
      <c r="J15" s="497"/>
      <c r="K15" s="497"/>
    </row>
    <row r="16" spans="2:11" ht="14.1" customHeight="1" x14ac:dyDescent="0.2">
      <c r="B16" s="107" t="s">
        <v>398</v>
      </c>
      <c r="C16" s="295">
        <f>15922927.03+43206.57</f>
        <v>15966133.6</v>
      </c>
      <c r="D16" s="288">
        <v>14750000</v>
      </c>
      <c r="E16" s="288">
        <v>19232684.129999999</v>
      </c>
      <c r="F16" s="288">
        <v>21000000</v>
      </c>
      <c r="G16" s="518"/>
      <c r="H16" s="518"/>
      <c r="I16" s="491"/>
      <c r="J16" s="491"/>
      <c r="K16" s="491"/>
    </row>
    <row r="17" spans="1:13" ht="14.1" customHeight="1" x14ac:dyDescent="0.2">
      <c r="B17" s="107" t="s">
        <v>399</v>
      </c>
      <c r="C17" s="295"/>
      <c r="D17" s="288"/>
      <c r="E17" s="288"/>
      <c r="F17" s="288"/>
      <c r="G17" s="518"/>
      <c r="H17" s="518"/>
      <c r="I17" s="491"/>
      <c r="J17" s="491"/>
      <c r="K17" s="491"/>
    </row>
    <row r="18" spans="1:13" ht="14.1" customHeight="1" x14ac:dyDescent="0.2">
      <c r="B18" s="107" t="s">
        <v>400</v>
      </c>
      <c r="C18" s="295"/>
      <c r="D18" s="288"/>
      <c r="E18" s="288"/>
      <c r="F18" s="288"/>
      <c r="G18" s="518"/>
      <c r="H18" s="518"/>
      <c r="I18" s="491"/>
      <c r="J18" s="491"/>
      <c r="K18" s="491"/>
    </row>
    <row r="19" spans="1:13" ht="14.1" customHeight="1" x14ac:dyDescent="0.2">
      <c r="B19" s="68" t="s">
        <v>99</v>
      </c>
      <c r="C19" s="296">
        <f>SUM(C20:C25)</f>
        <v>603155.12000000011</v>
      </c>
      <c r="D19" s="286">
        <f>SUM(D20:D25)</f>
        <v>1081507.83</v>
      </c>
      <c r="E19" s="286">
        <f>SUM(E20:E25)</f>
        <v>568694.69999999995</v>
      </c>
      <c r="F19" s="286">
        <f>SUM(F20:F25)</f>
        <v>2000000</v>
      </c>
      <c r="G19" s="518"/>
      <c r="H19" s="518"/>
      <c r="I19" s="491"/>
      <c r="J19" s="491"/>
      <c r="K19" s="491"/>
    </row>
    <row r="20" spans="1:13" ht="14.1" customHeight="1" x14ac:dyDescent="0.2">
      <c r="A20" s="66"/>
      <c r="B20" s="107" t="s">
        <v>439</v>
      </c>
      <c r="C20" s="295">
        <v>303761.78000000003</v>
      </c>
      <c r="D20" s="288"/>
      <c r="E20" s="288"/>
      <c r="F20" s="288">
        <v>1055084.1000000001</v>
      </c>
      <c r="G20" s="519"/>
      <c r="H20" s="518"/>
      <c r="I20" s="491"/>
      <c r="J20" s="491"/>
      <c r="K20" s="491"/>
    </row>
    <row r="21" spans="1:13" ht="14.1" customHeight="1" x14ac:dyDescent="0.2">
      <c r="A21" s="66"/>
      <c r="B21" s="107" t="s">
        <v>435</v>
      </c>
      <c r="C21" s="295">
        <v>226000</v>
      </c>
      <c r="D21" s="288">
        <v>293955.13</v>
      </c>
      <c r="E21" s="288">
        <v>293956</v>
      </c>
      <c r="F21" s="288">
        <v>394943.92</v>
      </c>
      <c r="G21" s="518"/>
      <c r="H21" s="518"/>
      <c r="I21" s="491"/>
      <c r="J21" s="491"/>
      <c r="K21" s="491"/>
    </row>
    <row r="22" spans="1:13" ht="14.1" customHeight="1" x14ac:dyDescent="0.2">
      <c r="A22" s="66"/>
      <c r="B22" s="107" t="s">
        <v>436</v>
      </c>
      <c r="C22" s="295">
        <v>19968.419999999998</v>
      </c>
      <c r="D22" s="288">
        <v>34042.160000000003</v>
      </c>
      <c r="E22" s="288">
        <v>12238.7</v>
      </c>
      <c r="F22" s="288"/>
      <c r="G22" s="518"/>
      <c r="H22" s="518"/>
      <c r="I22" s="491"/>
      <c r="J22" s="491"/>
      <c r="K22" s="491"/>
    </row>
    <row r="23" spans="1:13" ht="14.1" customHeight="1" x14ac:dyDescent="0.2">
      <c r="A23" s="66"/>
      <c r="B23" s="107" t="s">
        <v>437</v>
      </c>
      <c r="C23" s="295">
        <v>53424.92</v>
      </c>
      <c r="D23" s="288">
        <v>445000</v>
      </c>
      <c r="E23" s="288">
        <v>212500</v>
      </c>
      <c r="F23" s="288">
        <v>212500</v>
      </c>
      <c r="G23" s="518"/>
      <c r="H23" s="518"/>
      <c r="I23" s="491"/>
      <c r="J23" s="491"/>
      <c r="K23" s="491"/>
    </row>
    <row r="24" spans="1:13" ht="14.1" customHeight="1" x14ac:dyDescent="0.2">
      <c r="A24" s="66"/>
      <c r="B24" s="107" t="s">
        <v>438</v>
      </c>
      <c r="C24" s="295"/>
      <c r="D24" s="288">
        <v>308510.53999999998</v>
      </c>
      <c r="E24" s="288">
        <v>50000</v>
      </c>
      <c r="F24" s="288">
        <v>337471.98</v>
      </c>
      <c r="G24" s="492"/>
      <c r="H24" s="491"/>
      <c r="I24" s="491"/>
      <c r="J24" s="491"/>
      <c r="K24" s="491"/>
    </row>
    <row r="25" spans="1:13" ht="14.1" customHeight="1" x14ac:dyDescent="0.2">
      <c r="B25" s="107"/>
      <c r="C25" s="295"/>
      <c r="D25" s="288"/>
      <c r="E25" s="288"/>
      <c r="F25" s="288"/>
      <c r="G25" s="491"/>
      <c r="H25" s="491"/>
      <c r="I25" s="491"/>
      <c r="J25" s="491"/>
      <c r="K25" s="491"/>
    </row>
    <row r="26" spans="1:13" ht="14.1" customHeight="1" x14ac:dyDescent="0.2">
      <c r="B26" s="94" t="s">
        <v>100</v>
      </c>
      <c r="C26" s="295"/>
      <c r="D26" s="288"/>
      <c r="E26" s="288">
        <v>2472726.84</v>
      </c>
      <c r="F26" s="288">
        <f>-3721301.14+2050000</f>
        <v>-1671301.1400000001</v>
      </c>
      <c r="G26" s="491"/>
      <c r="H26" s="491"/>
      <c r="I26" s="491"/>
      <c r="J26" s="491"/>
      <c r="K26" s="491"/>
    </row>
    <row r="27" spans="1:13" ht="14.1" customHeight="1" x14ac:dyDescent="0.2">
      <c r="B27" s="94" t="s">
        <v>101</v>
      </c>
      <c r="C27" s="295">
        <v>70630988.140000001</v>
      </c>
      <c r="D27" s="288">
        <v>92385106.739999995</v>
      </c>
      <c r="E27" s="288">
        <f>109349100.04+666709.46</f>
        <v>110015809.5</v>
      </c>
      <c r="F27" s="288">
        <f>130289682.01+100000</f>
        <v>130389682.01000001</v>
      </c>
      <c r="G27" s="492"/>
      <c r="H27" s="494"/>
      <c r="I27" s="491"/>
      <c r="J27" s="491"/>
      <c r="K27" s="491"/>
    </row>
    <row r="28" spans="1:13" ht="14.1" customHeight="1" x14ac:dyDescent="0.2">
      <c r="B28" s="95" t="s">
        <v>102</v>
      </c>
      <c r="C28" s="296">
        <f>SUM(C29:C32)</f>
        <v>-74382272.180000007</v>
      </c>
      <c r="D28" s="286">
        <f>SUM(D29:D32)</f>
        <v>-102376591.86999999</v>
      </c>
      <c r="E28" s="286">
        <f>SUM(E29:E32)</f>
        <v>-120939167.78</v>
      </c>
      <c r="F28" s="286">
        <f>SUM(F29:F32)</f>
        <v>-144725639.39000002</v>
      </c>
      <c r="G28" s="492"/>
      <c r="H28" s="491"/>
      <c r="I28" s="491"/>
      <c r="J28" s="491"/>
      <c r="K28" s="491"/>
    </row>
    <row r="29" spans="1:13" ht="14.1" customHeight="1" x14ac:dyDescent="0.2">
      <c r="B29" s="67" t="s">
        <v>103</v>
      </c>
      <c r="C29" s="295">
        <v>-70630988.140000001</v>
      </c>
      <c r="D29" s="288">
        <v>-92385106.739999995</v>
      </c>
      <c r="E29" s="288">
        <f>-109349100.04-666709.46-2472726.84</f>
        <v>-112488536.34</v>
      </c>
      <c r="F29" s="288">
        <f>-130289682.01-100000-2050000</f>
        <v>-132439682.01000001</v>
      </c>
      <c r="G29" s="492"/>
      <c r="H29" s="491"/>
      <c r="I29" s="491"/>
      <c r="J29" s="491"/>
      <c r="K29" s="491"/>
    </row>
    <row r="30" spans="1:13" ht="18.75" customHeight="1" x14ac:dyDescent="0.2">
      <c r="B30" s="72" t="s">
        <v>104</v>
      </c>
      <c r="C30" s="295">
        <v>-3949097.93</v>
      </c>
      <c r="D30" s="288">
        <v>-7991485.1299999999</v>
      </c>
      <c r="E30" s="288">
        <v>-6950631.4399999995</v>
      </c>
      <c r="F30" s="288">
        <v>-13963012.290000001</v>
      </c>
      <c r="G30" s="492"/>
      <c r="H30" s="520"/>
      <c r="I30" s="521"/>
      <c r="J30" s="521"/>
      <c r="K30" s="521"/>
      <c r="L30" s="514"/>
      <c r="M30" s="515"/>
    </row>
    <row r="31" spans="1:13" ht="12.75" customHeight="1" x14ac:dyDescent="0.2">
      <c r="B31" s="72" t="s">
        <v>105</v>
      </c>
      <c r="C31" s="295"/>
      <c r="D31" s="288"/>
      <c r="E31" s="288"/>
      <c r="F31" s="288"/>
      <c r="G31" s="491"/>
      <c r="H31" s="522"/>
      <c r="I31" s="521"/>
      <c r="J31" s="521"/>
      <c r="K31" s="521"/>
      <c r="L31" s="514"/>
      <c r="M31" s="515"/>
    </row>
    <row r="32" spans="1:13" ht="16.5" customHeight="1" x14ac:dyDescent="0.2">
      <c r="B32" s="72" t="s">
        <v>143</v>
      </c>
      <c r="C32" s="295">
        <v>197813.89</v>
      </c>
      <c r="D32" s="288">
        <v>-2000000</v>
      </c>
      <c r="E32" s="288">
        <v>-1500000</v>
      </c>
      <c r="F32" s="288">
        <v>1677054.9100000001</v>
      </c>
      <c r="G32" s="500"/>
      <c r="H32" s="522"/>
      <c r="I32" s="521"/>
      <c r="J32" s="521"/>
      <c r="K32" s="521"/>
      <c r="L32" s="514"/>
      <c r="M32" s="515"/>
    </row>
    <row r="33" spans="2:13" ht="13.9" customHeight="1" x14ac:dyDescent="0.2">
      <c r="B33" s="103" t="s">
        <v>112</v>
      </c>
      <c r="C33" s="296">
        <f>SUM(C34:C36)</f>
        <v>51229740.660000004</v>
      </c>
      <c r="D33" s="286">
        <f>SUM(D34:D36)</f>
        <v>55007561.129999995</v>
      </c>
      <c r="E33" s="286">
        <f>SUM(E34:E36)</f>
        <v>57291509.120000005</v>
      </c>
      <c r="F33" s="286">
        <f>SUM(F34:F36)</f>
        <v>65831045.420000002</v>
      </c>
      <c r="G33" s="492"/>
      <c r="H33" s="491"/>
      <c r="I33" s="521"/>
      <c r="J33" s="521"/>
      <c r="K33" s="521"/>
      <c r="L33" s="514"/>
      <c r="M33" s="515"/>
    </row>
    <row r="34" spans="2:13" ht="14.1" customHeight="1" x14ac:dyDescent="0.2">
      <c r="B34" s="72" t="s">
        <v>111</v>
      </c>
      <c r="C34" s="295">
        <v>115510.78</v>
      </c>
      <c r="D34" s="288">
        <v>500000</v>
      </c>
      <c r="E34" s="288">
        <v>340877.68</v>
      </c>
      <c r="F34" s="288">
        <v>286350.65000000002</v>
      </c>
      <c r="G34" s="491"/>
      <c r="H34" s="494"/>
      <c r="I34" s="518"/>
      <c r="J34" s="518"/>
      <c r="K34" s="518"/>
      <c r="L34" s="59"/>
      <c r="M34" s="516"/>
    </row>
    <row r="35" spans="2:13" s="106" customFormat="1" ht="14.1" customHeight="1" x14ac:dyDescent="0.2">
      <c r="B35" s="72" t="s">
        <v>113</v>
      </c>
      <c r="C35" s="295">
        <v>50800838.18</v>
      </c>
      <c r="D35" s="288">
        <v>54193903.759999998</v>
      </c>
      <c r="E35" s="288">
        <f>48700000+7569138.1</f>
        <v>56269138.100000001</v>
      </c>
      <c r="F35" s="288">
        <f>49674000+13086222.42</f>
        <v>62760222.420000002</v>
      </c>
      <c r="H35" s="343"/>
    </row>
    <row r="36" spans="2:13" ht="14.1" customHeight="1" x14ac:dyDescent="0.2">
      <c r="B36" s="72" t="s">
        <v>114</v>
      </c>
      <c r="C36" s="295">
        <v>313391.7</v>
      </c>
      <c r="D36" s="288">
        <v>313657.37</v>
      </c>
      <c r="E36" s="288">
        <v>681493.34</v>
      </c>
      <c r="F36" s="288">
        <v>2784472.3499999996</v>
      </c>
      <c r="G36" s="149"/>
    </row>
    <row r="37" spans="2:13" ht="14.1" customHeight="1" x14ac:dyDescent="0.2">
      <c r="B37" s="96" t="s">
        <v>115</v>
      </c>
      <c r="C37" s="296">
        <f>C38+C39+C40</f>
        <v>-17114186.449999999</v>
      </c>
      <c r="D37" s="286">
        <f>D38+D39+D40</f>
        <v>-17554627.219999999</v>
      </c>
      <c r="E37" s="286">
        <f>E38+E39+E40</f>
        <v>-18340520.100000001</v>
      </c>
      <c r="F37" s="286">
        <f>F38+F39+F40</f>
        <v>-19351364.52</v>
      </c>
      <c r="G37" s="343"/>
      <c r="H37" s="140"/>
    </row>
    <row r="38" spans="2:13" ht="14.1" customHeight="1" x14ac:dyDescent="0.2">
      <c r="B38" s="72" t="s">
        <v>211</v>
      </c>
      <c r="C38" s="295">
        <v>-13025677.67</v>
      </c>
      <c r="D38" s="288">
        <v>-13206466.859999999</v>
      </c>
      <c r="E38" s="288">
        <v>-13559524.43</v>
      </c>
      <c r="F38" s="288">
        <v>-14006995.310000001</v>
      </c>
      <c r="G38" s="106"/>
    </row>
    <row r="39" spans="2:13" ht="14.1" customHeight="1" x14ac:dyDescent="0.2">
      <c r="B39" s="72" t="s">
        <v>116</v>
      </c>
      <c r="C39" s="295">
        <v>-4088508.78</v>
      </c>
      <c r="D39" s="288">
        <v>-4348160.3600000003</v>
      </c>
      <c r="E39" s="288">
        <v>-4780995.67</v>
      </c>
      <c r="F39" s="288">
        <v>-5344369.21</v>
      </c>
      <c r="G39" s="106"/>
    </row>
    <row r="40" spans="2:13" ht="14.1" customHeight="1" x14ac:dyDescent="0.2">
      <c r="B40" s="72" t="s">
        <v>117</v>
      </c>
      <c r="C40" s="295"/>
      <c r="D40" s="288"/>
      <c r="E40" s="288"/>
      <c r="F40" s="288"/>
      <c r="G40" s="106"/>
    </row>
    <row r="41" spans="2:13" ht="14.1" customHeight="1" x14ac:dyDescent="0.2">
      <c r="B41" s="96" t="s">
        <v>118</v>
      </c>
      <c r="C41" s="296">
        <f>SUM(C42:C45)</f>
        <v>-27756785.059999999</v>
      </c>
      <c r="D41" s="286">
        <f>SUM(D42:D45)</f>
        <v>-34429236.910000004</v>
      </c>
      <c r="E41" s="286">
        <f>SUM(E42:E45)</f>
        <v>-32610351.039999995</v>
      </c>
      <c r="F41" s="286">
        <f>SUM(F42:F45)</f>
        <v>-38015685.18</v>
      </c>
      <c r="G41" s="343"/>
    </row>
    <row r="42" spans="2:13" ht="14.1" customHeight="1" x14ac:dyDescent="0.2">
      <c r="B42" s="72" t="s">
        <v>119</v>
      </c>
      <c r="C42" s="295">
        <v>-20898300.329999998</v>
      </c>
      <c r="D42" s="288">
        <v>-23623837.190000001</v>
      </c>
      <c r="E42" s="288">
        <v>-24856564.849999998</v>
      </c>
      <c r="F42" s="288">
        <v>-28835685.18</v>
      </c>
      <c r="G42" s="343"/>
    </row>
    <row r="43" spans="2:13" ht="14.1" customHeight="1" x14ac:dyDescent="0.2">
      <c r="B43" s="72" t="s">
        <v>120</v>
      </c>
      <c r="C43" s="295">
        <v>-5491828.9100000001</v>
      </c>
      <c r="D43" s="288">
        <v>-8000000</v>
      </c>
      <c r="E43" s="288">
        <v>-6941036.79</v>
      </c>
      <c r="F43" s="288">
        <v>-8420000</v>
      </c>
      <c r="G43" s="106"/>
    </row>
    <row r="44" spans="2:13" ht="14.1" customHeight="1" x14ac:dyDescent="0.2">
      <c r="B44" s="72" t="s">
        <v>121</v>
      </c>
      <c r="C44" s="295">
        <v>-1366655.82</v>
      </c>
      <c r="D44" s="288">
        <v>-2755399.72</v>
      </c>
      <c r="E44" s="288">
        <v>-762749.4</v>
      </c>
      <c r="F44" s="288">
        <v>-710000</v>
      </c>
      <c r="G44" s="343"/>
    </row>
    <row r="45" spans="2:13" ht="14.1" customHeight="1" x14ac:dyDescent="0.2">
      <c r="B45" s="72" t="s">
        <v>122</v>
      </c>
      <c r="C45" s="295">
        <v>0</v>
      </c>
      <c r="D45" s="288">
        <v>-50000</v>
      </c>
      <c r="E45" s="288">
        <v>-50000</v>
      </c>
      <c r="F45" s="288">
        <v>-50000</v>
      </c>
      <c r="G45" s="106"/>
    </row>
    <row r="46" spans="2:13" ht="13.5" customHeight="1" x14ac:dyDescent="0.2">
      <c r="B46" s="96" t="s">
        <v>123</v>
      </c>
      <c r="C46" s="296">
        <f>SUM(C47:C49)</f>
        <v>-12798608.860000001</v>
      </c>
      <c r="D46" s="286">
        <f>SUM(D47:D49)</f>
        <v>-16002411.540000001</v>
      </c>
      <c r="E46" s="286">
        <f>SUM(E47:E49)</f>
        <v>-14929000</v>
      </c>
      <c r="F46" s="286">
        <f>SUM(F47:F49)</f>
        <v>-18004000</v>
      </c>
      <c r="G46" s="343"/>
    </row>
    <row r="47" spans="2:13" ht="13.5" customHeight="1" x14ac:dyDescent="0.2">
      <c r="B47" s="72" t="s">
        <v>124</v>
      </c>
      <c r="C47" s="295">
        <v>-135126.16</v>
      </c>
      <c r="D47" s="288">
        <v>-44066.18</v>
      </c>
      <c r="E47" s="288">
        <v>-225000</v>
      </c>
      <c r="F47" s="288">
        <v>-275000</v>
      </c>
      <c r="G47" s="106"/>
    </row>
    <row r="48" spans="2:13" ht="13.5" customHeight="1" x14ac:dyDescent="0.2">
      <c r="B48" s="72" t="s">
        <v>125</v>
      </c>
      <c r="C48" s="295">
        <v>-491260.64</v>
      </c>
      <c r="D48" s="288">
        <v>-655452.78</v>
      </c>
      <c r="E48" s="288">
        <v>-704000</v>
      </c>
      <c r="F48" s="288">
        <v>-729000</v>
      </c>
      <c r="G48" s="106"/>
    </row>
    <row r="49" spans="2:13" ht="13.5" customHeight="1" x14ac:dyDescent="0.2">
      <c r="B49" s="72" t="s">
        <v>126</v>
      </c>
      <c r="C49" s="295">
        <v>-12172222.060000001</v>
      </c>
      <c r="D49" s="288">
        <v>-15302892.58</v>
      </c>
      <c r="E49" s="288">
        <v>-14000000</v>
      </c>
      <c r="F49" s="288">
        <v>-17000000</v>
      </c>
      <c r="G49" s="106"/>
    </row>
    <row r="50" spans="2:13" ht="13.5" customHeight="1" x14ac:dyDescent="0.2">
      <c r="B50" s="96" t="s">
        <v>127</v>
      </c>
      <c r="C50" s="295">
        <v>10751818.98</v>
      </c>
      <c r="D50" s="288">
        <v>10000000</v>
      </c>
      <c r="E50" s="288">
        <v>12000000</v>
      </c>
      <c r="F50" s="288">
        <v>12400000</v>
      </c>
      <c r="G50" s="500"/>
    </row>
    <row r="51" spans="2:13" ht="13.5" customHeight="1" x14ac:dyDescent="0.2">
      <c r="B51" s="96" t="s">
        <v>409</v>
      </c>
      <c r="C51" s="295">
        <v>575898.30000000005</v>
      </c>
      <c r="D51" s="288">
        <v>1000000</v>
      </c>
      <c r="E51" s="288">
        <v>1000000</v>
      </c>
      <c r="F51" s="288">
        <v>700000</v>
      </c>
      <c r="G51" s="497"/>
      <c r="H51" s="491"/>
      <c r="I51" s="491"/>
      <c r="J51" s="491"/>
      <c r="K51" s="491"/>
      <c r="L51" s="491"/>
      <c r="M51" s="491"/>
    </row>
    <row r="52" spans="2:13" ht="13.5" customHeight="1" x14ac:dyDescent="0.2">
      <c r="B52" s="103" t="s">
        <v>128</v>
      </c>
      <c r="C52" s="296">
        <f>SUM(C53:C54)</f>
        <v>523859.55</v>
      </c>
      <c r="D52" s="286">
        <f>SUM(D53:D54)</f>
        <v>285000</v>
      </c>
      <c r="E52" s="286">
        <f>SUM(E53:E54)</f>
        <v>400000</v>
      </c>
      <c r="F52" s="286">
        <f>SUM(F53:F54)</f>
        <v>400000</v>
      </c>
      <c r="G52" s="140"/>
    </row>
    <row r="53" spans="2:13" ht="13.5" customHeight="1" x14ac:dyDescent="0.2">
      <c r="B53" s="72" t="s">
        <v>129</v>
      </c>
      <c r="C53" s="295">
        <v>379157.74</v>
      </c>
      <c r="D53" s="288">
        <v>385000</v>
      </c>
      <c r="E53" s="288">
        <v>400000</v>
      </c>
      <c r="F53" s="288">
        <v>400000</v>
      </c>
    </row>
    <row r="54" spans="2:13" ht="14.1" customHeight="1" x14ac:dyDescent="0.2">
      <c r="B54" s="72" t="s">
        <v>130</v>
      </c>
      <c r="C54" s="295">
        <f>187908.38-43206.57</f>
        <v>144701.81</v>
      </c>
      <c r="D54" s="288">
        <v>-100000</v>
      </c>
      <c r="E54" s="288"/>
      <c r="F54" s="288"/>
    </row>
    <row r="55" spans="2:13" ht="14.1" customHeight="1" x14ac:dyDescent="0.2">
      <c r="B55" s="96" t="s">
        <v>131</v>
      </c>
      <c r="C55" s="307">
        <f>SUM(C56:C57)</f>
        <v>0</v>
      </c>
      <c r="D55" s="290">
        <f>SUM(D56:D57)</f>
        <v>0</v>
      </c>
      <c r="E55" s="290">
        <f>SUM(E56:E57)</f>
        <v>0</v>
      </c>
      <c r="F55" s="290">
        <f>SUM(F56:F57)</f>
        <v>0</v>
      </c>
    </row>
    <row r="56" spans="2:13" ht="14.1" customHeight="1" x14ac:dyDescent="0.2">
      <c r="B56" s="72" t="s">
        <v>224</v>
      </c>
      <c r="C56" s="295"/>
      <c r="D56" s="288"/>
      <c r="E56" s="288"/>
      <c r="F56" s="288"/>
    </row>
    <row r="57" spans="2:13" ht="14.1" customHeight="1" x14ac:dyDescent="0.2">
      <c r="B57" s="72" t="s">
        <v>225</v>
      </c>
      <c r="C57" s="295"/>
      <c r="D57" s="288"/>
      <c r="E57" s="288"/>
      <c r="F57" s="288"/>
    </row>
    <row r="58" spans="2:13" ht="18" customHeight="1" x14ac:dyDescent="0.2">
      <c r="B58" s="101" t="s">
        <v>162</v>
      </c>
      <c r="C58" s="347">
        <f>C13+C26+C27+C28+C33+C37+C41+C46+C50+C51+C52+C55</f>
        <v>18229741.800000004</v>
      </c>
      <c r="D58" s="297">
        <f>D13+D26+D27+D28+D33+D37+D41+D46+D50+D51+D52+D55</f>
        <v>4146308.1599999946</v>
      </c>
      <c r="E58" s="297">
        <f>E13+E26+E27+E28+E33+E37+E41+E46+E50+E51+E52+E55</f>
        <v>16948839.709999997</v>
      </c>
      <c r="F58" s="297">
        <f>F13+F26+F27+F28+F33+F37+F41+F46+F50+F51+F52+F55</f>
        <v>13952737.199999996</v>
      </c>
    </row>
    <row r="59" spans="2:13" ht="14.1" customHeight="1" x14ac:dyDescent="0.2">
      <c r="B59" s="104" t="s">
        <v>132</v>
      </c>
      <c r="C59" s="527">
        <f>C60+C63+C66</f>
        <v>105428.54</v>
      </c>
      <c r="D59" s="292">
        <f>D60+D63+D66</f>
        <v>100000</v>
      </c>
      <c r="E59" s="292">
        <f>E60+E63+E66</f>
        <v>1940084.47</v>
      </c>
      <c r="F59" s="292">
        <f>F60+F63+F66</f>
        <v>1750000</v>
      </c>
    </row>
    <row r="60" spans="2:13" ht="14.1" customHeight="1" x14ac:dyDescent="0.2">
      <c r="B60" s="73" t="s">
        <v>133</v>
      </c>
      <c r="C60" s="296">
        <f>SUM(C61:C62)</f>
        <v>0</v>
      </c>
      <c r="D60" s="286">
        <f>SUM(D61:D62)</f>
        <v>0</v>
      </c>
      <c r="E60" s="286">
        <f>SUM(E61:E62)</f>
        <v>0</v>
      </c>
      <c r="F60" s="286">
        <f>SUM(F61:F62)</f>
        <v>0</v>
      </c>
    </row>
    <row r="61" spans="2:13" ht="14.1" customHeight="1" x14ac:dyDescent="0.2">
      <c r="B61" s="73" t="s">
        <v>241</v>
      </c>
      <c r="C61" s="295"/>
      <c r="D61" s="288"/>
      <c r="E61" s="288"/>
      <c r="F61" s="288"/>
    </row>
    <row r="62" spans="2:13" ht="14.1" customHeight="1" x14ac:dyDescent="0.2">
      <c r="B62" s="73" t="s">
        <v>242</v>
      </c>
      <c r="C62" s="295"/>
      <c r="D62" s="288"/>
      <c r="E62" s="288"/>
      <c r="F62" s="288"/>
    </row>
    <row r="63" spans="2:13" ht="14.1" customHeight="1" x14ac:dyDescent="0.2">
      <c r="B63" s="73" t="s">
        <v>212</v>
      </c>
      <c r="C63" s="296">
        <f>SUM(C64:C65)</f>
        <v>105428.54</v>
      </c>
      <c r="D63" s="286">
        <f>SUM(D64:D65)</f>
        <v>100000</v>
      </c>
      <c r="E63" s="286">
        <f>SUM(E64:E65)</f>
        <v>1940084.47</v>
      </c>
      <c r="F63" s="286">
        <f>SUM(F64:F65)</f>
        <v>1750000</v>
      </c>
    </row>
    <row r="64" spans="2:13" ht="14.1" customHeight="1" x14ac:dyDescent="0.2">
      <c r="B64" s="73" t="s">
        <v>243</v>
      </c>
      <c r="C64" s="295"/>
      <c r="D64" s="288"/>
      <c r="E64" s="288"/>
      <c r="F64" s="288"/>
    </row>
    <row r="65" spans="2:7" ht="14.1" customHeight="1" x14ac:dyDescent="0.2">
      <c r="B65" s="73" t="s">
        <v>244</v>
      </c>
      <c r="C65" s="295">
        <v>105428.54</v>
      </c>
      <c r="D65" s="288">
        <v>100000</v>
      </c>
      <c r="E65" s="288">
        <v>1940084.47</v>
      </c>
      <c r="F65" s="288">
        <v>1750000</v>
      </c>
    </row>
    <row r="66" spans="2:7" ht="14.1" customHeight="1" x14ac:dyDescent="0.2">
      <c r="B66" s="73" t="s">
        <v>339</v>
      </c>
      <c r="C66" s="295"/>
      <c r="D66" s="288"/>
      <c r="E66" s="288"/>
      <c r="F66" s="288"/>
    </row>
    <row r="67" spans="2:7" ht="14.1" customHeight="1" x14ac:dyDescent="0.2">
      <c r="B67" s="103" t="s">
        <v>137</v>
      </c>
      <c r="C67" s="527">
        <f>SUM(C68:C70)</f>
        <v>-106899.25</v>
      </c>
      <c r="D67" s="292">
        <f>SUM(D68:D70)</f>
        <v>-5000</v>
      </c>
      <c r="E67" s="292">
        <f>SUM(E68:E70)</f>
        <v>-19000</v>
      </c>
      <c r="F67" s="292">
        <f>SUM(F68:F70)</f>
        <v>-25000</v>
      </c>
    </row>
    <row r="68" spans="2:7" ht="14.1" customHeight="1" x14ac:dyDescent="0.2">
      <c r="B68" s="73" t="s">
        <v>238</v>
      </c>
      <c r="C68" s="295"/>
      <c r="D68" s="288"/>
      <c r="E68" s="288"/>
      <c r="F68" s="288"/>
    </row>
    <row r="69" spans="2:7" ht="14.1" customHeight="1" x14ac:dyDescent="0.2">
      <c r="B69" s="73" t="s">
        <v>134</v>
      </c>
      <c r="C69" s="295">
        <v>-106899.25</v>
      </c>
      <c r="D69" s="288">
        <v>-5000</v>
      </c>
      <c r="E69" s="288">
        <v>-19000</v>
      </c>
      <c r="F69" s="288">
        <v>-25000</v>
      </c>
    </row>
    <row r="70" spans="2:7" ht="14.1" customHeight="1" x14ac:dyDescent="0.2">
      <c r="B70" s="73" t="s">
        <v>213</v>
      </c>
      <c r="C70" s="295"/>
      <c r="D70" s="288"/>
      <c r="E70" s="288"/>
      <c r="F70" s="288"/>
    </row>
    <row r="71" spans="2:7" ht="14.1" customHeight="1" x14ac:dyDescent="0.2">
      <c r="B71" s="103" t="s">
        <v>138</v>
      </c>
      <c r="C71" s="527">
        <f>SUM(C72:C73)</f>
        <v>0</v>
      </c>
      <c r="D71" s="292">
        <f>SUM(D72:D73)</f>
        <v>0</v>
      </c>
      <c r="E71" s="292">
        <f>SUM(E72:E73)</f>
        <v>0</v>
      </c>
      <c r="F71" s="292">
        <f>SUM(F72:F73)</f>
        <v>0</v>
      </c>
    </row>
    <row r="72" spans="2:7" ht="14.1" customHeight="1" x14ac:dyDescent="0.2">
      <c r="B72" s="73" t="s">
        <v>135</v>
      </c>
      <c r="C72" s="295"/>
      <c r="D72" s="288"/>
      <c r="E72" s="288"/>
      <c r="F72" s="288"/>
    </row>
    <row r="73" spans="2:7" ht="14.1" customHeight="1" x14ac:dyDescent="0.2">
      <c r="B73" s="73" t="s">
        <v>136</v>
      </c>
      <c r="C73" s="295"/>
      <c r="D73" s="288"/>
      <c r="E73" s="288"/>
      <c r="F73" s="288"/>
    </row>
    <row r="74" spans="2:7" ht="14.1" customHeight="1" x14ac:dyDescent="0.2">
      <c r="B74" s="103" t="s">
        <v>139</v>
      </c>
      <c r="C74" s="295"/>
      <c r="D74" s="288"/>
      <c r="E74" s="288"/>
      <c r="F74" s="288"/>
    </row>
    <row r="75" spans="2:7" ht="14.1" customHeight="1" x14ac:dyDescent="0.2">
      <c r="B75" s="96" t="s">
        <v>144</v>
      </c>
      <c r="C75" s="296">
        <f>SUM(C76:C77)</f>
        <v>0</v>
      </c>
      <c r="D75" s="286">
        <f>SUM(D76:D77)</f>
        <v>0</v>
      </c>
      <c r="E75" s="286">
        <f>SUM(E76:E77)</f>
        <v>0</v>
      </c>
      <c r="F75" s="286">
        <f>SUM(F76:F77)</f>
        <v>0</v>
      </c>
    </row>
    <row r="76" spans="2:7" ht="14.1" customHeight="1" x14ac:dyDescent="0.2">
      <c r="B76" s="72" t="s">
        <v>129</v>
      </c>
      <c r="C76" s="295"/>
      <c r="D76" s="288"/>
      <c r="E76" s="288"/>
      <c r="F76" s="288"/>
    </row>
    <row r="77" spans="2:7" ht="14.1" customHeight="1" x14ac:dyDescent="0.2">
      <c r="B77" s="72" t="s">
        <v>214</v>
      </c>
      <c r="C77" s="528"/>
      <c r="D77" s="300"/>
      <c r="E77" s="300"/>
      <c r="F77" s="300"/>
    </row>
    <row r="78" spans="2:7" ht="18" customHeight="1" x14ac:dyDescent="0.2">
      <c r="B78" s="100" t="s">
        <v>163</v>
      </c>
      <c r="C78" s="347">
        <f>C59+C67+C71+C74+C75</f>
        <v>-1470.7100000000064</v>
      </c>
      <c r="D78" s="297">
        <f>D59+D67+D71+D74+D75</f>
        <v>95000</v>
      </c>
      <c r="E78" s="297">
        <f>E59+E67+E71+E74+E75</f>
        <v>1921084.47</v>
      </c>
      <c r="F78" s="297">
        <f>F59+F67+F71+F74+F75</f>
        <v>1725000</v>
      </c>
    </row>
    <row r="79" spans="2:7" ht="18" customHeight="1" x14ac:dyDescent="0.2">
      <c r="B79" s="100" t="s">
        <v>164</v>
      </c>
      <c r="C79" s="347">
        <f>C58+C78</f>
        <v>18228271.090000004</v>
      </c>
      <c r="D79" s="297">
        <f>D58+D78</f>
        <v>4241308.1599999946</v>
      </c>
      <c r="E79" s="297">
        <f>E58+E78</f>
        <v>18869924.179999996</v>
      </c>
      <c r="F79" s="297">
        <f>F58+F78</f>
        <v>15677737.199999996</v>
      </c>
      <c r="G79" s="302"/>
    </row>
    <row r="80" spans="2:7" ht="14.1" customHeight="1" x14ac:dyDescent="0.2">
      <c r="B80" s="103" t="s">
        <v>140</v>
      </c>
      <c r="C80" s="529">
        <f>-286058.62-28067.26</f>
        <v>-314125.88</v>
      </c>
      <c r="D80" s="536">
        <v>-149720.79999999999</v>
      </c>
      <c r="E80" s="536">
        <f>-94405.44-25000</f>
        <v>-119405.44</v>
      </c>
      <c r="F80" s="536">
        <f>-205000-25000</f>
        <v>-230000</v>
      </c>
      <c r="G80" s="302"/>
    </row>
    <row r="81" spans="1:6" ht="18" customHeight="1" x14ac:dyDescent="0.2">
      <c r="B81" s="100" t="s">
        <v>165</v>
      </c>
      <c r="C81" s="347">
        <f>C79+C80</f>
        <v>17914145.210000005</v>
      </c>
      <c r="D81" s="297">
        <f>D79+D80</f>
        <v>4091587.3599999947</v>
      </c>
      <c r="E81" s="297">
        <f>E79+E80</f>
        <v>18750518.739999995</v>
      </c>
      <c r="F81" s="297">
        <f>F79+F80</f>
        <v>15447737.199999996</v>
      </c>
    </row>
    <row r="82" spans="1:6" ht="14.1" customHeight="1" x14ac:dyDescent="0.2">
      <c r="B82" s="76"/>
      <c r="C82" s="349"/>
      <c r="D82" s="98"/>
      <c r="E82" s="98"/>
      <c r="F82" s="98"/>
    </row>
    <row r="83" spans="1:6" ht="14.1" customHeight="1" x14ac:dyDescent="0.2">
      <c r="B83" s="105" t="s">
        <v>141</v>
      </c>
      <c r="C83" s="90"/>
      <c r="D83" s="65"/>
      <c r="E83" s="65"/>
      <c r="F83" s="65"/>
    </row>
    <row r="84" spans="1:6" ht="14.1" customHeight="1" x14ac:dyDescent="0.2">
      <c r="B84" s="103" t="s">
        <v>145</v>
      </c>
      <c r="C84" s="295"/>
      <c r="D84" s="288"/>
      <c r="E84" s="288"/>
      <c r="F84" s="288"/>
    </row>
    <row r="85" spans="1:6" ht="14.1" customHeight="1" thickBot="1" x14ac:dyDescent="0.25">
      <c r="B85" s="103"/>
      <c r="C85" s="388"/>
      <c r="D85" s="98"/>
      <c r="E85" s="98"/>
      <c r="F85" s="98"/>
    </row>
    <row r="86" spans="1:6" ht="18" customHeight="1" thickTop="1" thickBot="1" x14ac:dyDescent="0.25">
      <c r="B86" s="102" t="s">
        <v>142</v>
      </c>
      <c r="C86" s="530">
        <f>C81+C84</f>
        <v>17914145.210000005</v>
      </c>
      <c r="D86" s="301">
        <f>D81+D84</f>
        <v>4091587.3599999947</v>
      </c>
      <c r="E86" s="301">
        <f>E81+E84</f>
        <v>18750518.739999995</v>
      </c>
      <c r="F86" s="301">
        <f>F81+F84</f>
        <v>15447737.199999996</v>
      </c>
    </row>
    <row r="87" spans="1:6" ht="14.1" customHeight="1" x14ac:dyDescent="0.2">
      <c r="B87" s="91"/>
      <c r="C87" s="581"/>
      <c r="D87" s="582"/>
      <c r="E87" s="583"/>
      <c r="F87" s="583"/>
    </row>
    <row r="88" spans="1:6" ht="14.1" customHeight="1" x14ac:dyDescent="0.2">
      <c r="B88" s="92" t="s">
        <v>146</v>
      </c>
      <c r="C88" s="489"/>
      <c r="D88" s="149"/>
      <c r="E88" s="302"/>
      <c r="F88" s="302"/>
    </row>
    <row r="89" spans="1:6" ht="14.1" customHeight="1" x14ac:dyDescent="0.2">
      <c r="B89" s="93"/>
      <c r="C89" s="488"/>
      <c r="D89" s="150"/>
      <c r="E89" s="140"/>
      <c r="F89" s="140"/>
    </row>
    <row r="90" spans="1:6" ht="14.1" customHeight="1" x14ac:dyDescent="0.2">
      <c r="C90" s="488"/>
      <c r="D90" s="106"/>
      <c r="E90" s="140"/>
      <c r="F90" s="140"/>
    </row>
    <row r="91" spans="1:6" ht="31.5" customHeight="1" x14ac:dyDescent="0.2">
      <c r="A91" s="621" t="s">
        <v>331</v>
      </c>
      <c r="B91" s="622"/>
      <c r="C91" s="490">
        <f>SUM(C92:C94)</f>
        <v>-622.79</v>
      </c>
      <c r="D91" s="304">
        <f>SUM(D92:D94)</f>
        <v>-2000</v>
      </c>
      <c r="E91" s="304">
        <f>SUM(E92:E94)</f>
        <v>353717.03</v>
      </c>
      <c r="F91" s="304">
        <f>SUM(F92:F94)</f>
        <v>-36116</v>
      </c>
    </row>
    <row r="92" spans="1:6" ht="14.1" customHeight="1" x14ac:dyDescent="0.2">
      <c r="A92" s="623" t="s">
        <v>355</v>
      </c>
      <c r="B92" s="624"/>
      <c r="C92" s="288"/>
      <c r="D92" s="288"/>
      <c r="E92" s="288">
        <v>368616</v>
      </c>
      <c r="F92" s="288">
        <v>332500</v>
      </c>
    </row>
    <row r="93" spans="1:6" ht="14.1" customHeight="1" x14ac:dyDescent="0.2">
      <c r="A93" s="141" t="s">
        <v>340</v>
      </c>
      <c r="B93" s="142"/>
      <c r="C93" s="305">
        <v>6898.97</v>
      </c>
      <c r="D93" s="305">
        <v>8000</v>
      </c>
      <c r="E93" s="305">
        <v>-8000</v>
      </c>
      <c r="F93" s="305">
        <v>-8000</v>
      </c>
    </row>
    <row r="94" spans="1:6" ht="14.1" customHeight="1" x14ac:dyDescent="0.2">
      <c r="A94" s="623" t="s">
        <v>332</v>
      </c>
      <c r="B94" s="624"/>
      <c r="C94" s="306">
        <v>-7521.76</v>
      </c>
      <c r="D94" s="306">
        <v>-10000</v>
      </c>
      <c r="E94" s="306">
        <v>-6898.97</v>
      </c>
      <c r="F94" s="306">
        <f>8000-368616</f>
        <v>-360616</v>
      </c>
    </row>
    <row r="95" spans="1:6" ht="14.1" customHeight="1" x14ac:dyDescent="0.2">
      <c r="D95" s="140"/>
    </row>
    <row r="96" spans="1:6" ht="25.5" hidden="1" customHeight="1" x14ac:dyDescent="0.2">
      <c r="B96" s="618" t="s">
        <v>341</v>
      </c>
      <c r="C96" s="618"/>
      <c r="D96" s="618"/>
      <c r="E96" s="618"/>
      <c r="F96" s="143"/>
    </row>
    <row r="97" spans="2:6" ht="18.75" hidden="1" customHeight="1" x14ac:dyDescent="0.2">
      <c r="B97" s="372" t="s">
        <v>408</v>
      </c>
      <c r="C97" s="372"/>
      <c r="D97" s="370">
        <v>3000</v>
      </c>
      <c r="E97" s="143"/>
      <c r="F97" s="143"/>
    </row>
    <row r="98" spans="2:6" ht="14.1" hidden="1" customHeight="1" x14ac:dyDescent="0.2">
      <c r="B98" s="247" t="str">
        <f>B7</f>
        <v>SOCIEDAD: EMPRESA MUNICIPAL DE LA VIVIENDA Y SUELO DE MADRID S.A.</v>
      </c>
      <c r="C98" s="481"/>
      <c r="D98" s="371" t="str">
        <f>D9</f>
        <v>PRESUPUESTO</v>
      </c>
      <c r="E98" s="248" t="str">
        <f>E9</f>
        <v>PREVISIÓN CIERRE</v>
      </c>
      <c r="F98" s="251"/>
    </row>
    <row r="99" spans="2:6" ht="14.1" hidden="1" customHeight="1" x14ac:dyDescent="0.2">
      <c r="B99" s="249"/>
      <c r="C99" s="59"/>
      <c r="D99" s="250" t="str">
        <f>D10</f>
        <v>2022-2023</v>
      </c>
      <c r="E99" s="252">
        <f>E10</f>
        <v>45291</v>
      </c>
      <c r="F99" s="250"/>
    </row>
    <row r="100" spans="2:6" ht="14.1" hidden="1" customHeight="1" x14ac:dyDescent="0.2">
      <c r="B100" s="253" t="s">
        <v>354</v>
      </c>
      <c r="C100" s="482"/>
      <c r="D100" s="138">
        <f>D101+D102</f>
        <v>4091587.3599999845</v>
      </c>
      <c r="E100" s="254">
        <f>E101+E102</f>
        <v>18750518.740000039</v>
      </c>
      <c r="F100" s="138"/>
    </row>
    <row r="101" spans="2:6" ht="14.1" hidden="1" customHeight="1" x14ac:dyDescent="0.2">
      <c r="B101" s="253" t="s">
        <v>344</v>
      </c>
      <c r="C101" s="482"/>
      <c r="D101" s="145">
        <f>D13+D27+D33+D50+D51+D56+D59+D113</f>
        <v>174709175.69999999</v>
      </c>
      <c r="E101" s="255">
        <f>E13+E27+E33+E50+E51+E56+E59+E113</f>
        <v>205707963.10000002</v>
      </c>
      <c r="F101" s="145"/>
    </row>
    <row r="102" spans="2:6" ht="14.1" hidden="1" customHeight="1" x14ac:dyDescent="0.2">
      <c r="B102" s="253" t="s">
        <v>345</v>
      </c>
      <c r="C102" s="482"/>
      <c r="D102" s="145">
        <f>D28+D37+D41+D46+D57+D67+D80+D124</f>
        <v>-170617588.34</v>
      </c>
      <c r="E102" s="255">
        <f>E28+E37+E41+E46+E57+E67+E80+E124</f>
        <v>-186957444.35999998</v>
      </c>
      <c r="F102" s="145"/>
    </row>
    <row r="103" spans="2:6" s="106" customFormat="1" ht="14.1" hidden="1" customHeight="1" x14ac:dyDescent="0.2">
      <c r="B103" s="256"/>
      <c r="C103" s="483"/>
      <c r="D103" s="257"/>
      <c r="E103" s="258"/>
      <c r="F103" s="212"/>
    </row>
    <row r="104" spans="2:6" ht="14.1" hidden="1" customHeight="1" x14ac:dyDescent="0.2">
      <c r="B104" s="259" t="s">
        <v>0</v>
      </c>
      <c r="C104" s="484"/>
      <c r="D104" s="148"/>
      <c r="E104" s="260"/>
      <c r="F104" s="138"/>
    </row>
    <row r="105" spans="2:6" ht="14.1" hidden="1" customHeight="1" x14ac:dyDescent="0.2">
      <c r="B105" s="261" t="s">
        <v>346</v>
      </c>
      <c r="C105" s="485"/>
      <c r="D105" s="138">
        <f>IF(D26&gt;0,D26,0)</f>
        <v>0</v>
      </c>
      <c r="E105" s="254">
        <f>IF(E26&gt;0,E26,0)</f>
        <v>2472726.84</v>
      </c>
      <c r="F105" s="138"/>
    </row>
    <row r="106" spans="2:6" ht="14.1" hidden="1" customHeight="1" x14ac:dyDescent="0.2">
      <c r="B106" s="96" t="s">
        <v>350</v>
      </c>
      <c r="C106" s="480"/>
      <c r="D106" s="138">
        <f>IF(D53&gt;0,D53,0)</f>
        <v>385000</v>
      </c>
      <c r="E106" s="254">
        <f>IF(E53&gt;0,E53,0)</f>
        <v>400000</v>
      </c>
      <c r="F106" s="138"/>
    </row>
    <row r="107" spans="2:6" ht="14.1" hidden="1" customHeight="1" x14ac:dyDescent="0.2">
      <c r="B107" s="96" t="s">
        <v>351</v>
      </c>
      <c r="C107" s="480"/>
      <c r="D107" s="138">
        <f>IF(D54&gt;0,D54,0)</f>
        <v>0</v>
      </c>
      <c r="E107" s="254">
        <f>IF(E54&gt;0,E54,0)</f>
        <v>0</v>
      </c>
      <c r="F107" s="138"/>
    </row>
    <row r="108" spans="2:6" ht="14.1" hidden="1" customHeight="1" x14ac:dyDescent="0.2">
      <c r="B108" s="103" t="s">
        <v>347</v>
      </c>
      <c r="C108" s="383"/>
      <c r="D108" s="138">
        <f>IF(D71&gt;0,D71,0)</f>
        <v>0</v>
      </c>
      <c r="E108" s="254">
        <f>IF(E71&gt;0,E71,0)</f>
        <v>0</v>
      </c>
      <c r="F108" s="138"/>
    </row>
    <row r="109" spans="2:6" ht="14.1" hidden="1" customHeight="1" x14ac:dyDescent="0.2">
      <c r="B109" s="103" t="s">
        <v>348</v>
      </c>
      <c r="C109" s="383"/>
      <c r="D109" s="138">
        <f>IF(D74&gt;0,D74,0)</f>
        <v>0</v>
      </c>
      <c r="E109" s="254">
        <f>IF(E74&gt;0,E74,0)</f>
        <v>0</v>
      </c>
      <c r="F109" s="138"/>
    </row>
    <row r="110" spans="2:6" ht="14.1" hidden="1" customHeight="1" x14ac:dyDescent="0.2">
      <c r="B110" s="96" t="s">
        <v>352</v>
      </c>
      <c r="C110" s="480"/>
      <c r="D110" s="138">
        <f>IF(D76&gt;0,D76,0)</f>
        <v>0</v>
      </c>
      <c r="E110" s="254">
        <f>IF(E76&gt;0,E76,0)</f>
        <v>0</v>
      </c>
      <c r="F110" s="138"/>
    </row>
    <row r="111" spans="2:6" ht="14.1" hidden="1" customHeight="1" x14ac:dyDescent="0.2">
      <c r="B111" s="96" t="s">
        <v>353</v>
      </c>
      <c r="C111" s="480"/>
      <c r="D111" s="138">
        <f>IF(D77&gt;0,D77,0)</f>
        <v>0</v>
      </c>
      <c r="E111" s="254">
        <f>IF(E77&gt;0,E77,0)</f>
        <v>0</v>
      </c>
      <c r="F111" s="138"/>
    </row>
    <row r="112" spans="2:6" ht="14.1" hidden="1" customHeight="1" x14ac:dyDescent="0.2">
      <c r="B112" s="103" t="s">
        <v>349</v>
      </c>
      <c r="C112" s="383"/>
      <c r="D112" s="138">
        <f>IF(D84&gt;0,D84,0)</f>
        <v>0</v>
      </c>
      <c r="E112" s="254">
        <f>IF(E84&gt;0,E84,0)</f>
        <v>0</v>
      </c>
      <c r="F112" s="138"/>
    </row>
    <row r="113" spans="2:6" ht="14.1" hidden="1" customHeight="1" x14ac:dyDescent="0.2">
      <c r="B113" s="262" t="s">
        <v>7</v>
      </c>
      <c r="C113" s="486"/>
      <c r="D113" s="139">
        <f>SUM(D105:D112)</f>
        <v>385000</v>
      </c>
      <c r="E113" s="263">
        <f>SUM(E105:E112)</f>
        <v>2872726.84</v>
      </c>
      <c r="F113" s="138"/>
    </row>
    <row r="114" spans="2:6" ht="14.1" hidden="1" customHeight="1" x14ac:dyDescent="0.2">
      <c r="B114" s="249"/>
      <c r="C114" s="59"/>
      <c r="D114" s="138"/>
      <c r="E114" s="254"/>
      <c r="F114" s="138"/>
    </row>
    <row r="115" spans="2:6" ht="14.1" hidden="1" customHeight="1" x14ac:dyDescent="0.2">
      <c r="B115" s="259" t="s">
        <v>1</v>
      </c>
      <c r="C115" s="484"/>
      <c r="D115" s="148"/>
      <c r="E115" s="260"/>
      <c r="F115" s="138"/>
    </row>
    <row r="116" spans="2:6" ht="14.1" hidden="1" customHeight="1" x14ac:dyDescent="0.2">
      <c r="B116" s="261" t="s">
        <v>346</v>
      </c>
      <c r="C116" s="485"/>
      <c r="D116" s="138">
        <f>IF(D26&lt;0,D26,0)</f>
        <v>0</v>
      </c>
      <c r="E116" s="254">
        <f>IF(E26&lt;0,E26,0)</f>
        <v>0</v>
      </c>
      <c r="F116" s="138"/>
    </row>
    <row r="117" spans="2:6" ht="14.1" hidden="1" customHeight="1" x14ac:dyDescent="0.2">
      <c r="B117" s="96" t="s">
        <v>350</v>
      </c>
      <c r="C117" s="480"/>
      <c r="D117" s="138">
        <f>IF(D53&lt;0,D53,0)</f>
        <v>0</v>
      </c>
      <c r="E117" s="254">
        <f>IF(E53&lt;0,E53,0)</f>
        <v>0</v>
      </c>
      <c r="F117" s="138"/>
    </row>
    <row r="118" spans="2:6" ht="14.1" hidden="1" customHeight="1" x14ac:dyDescent="0.2">
      <c r="B118" s="96" t="s">
        <v>351</v>
      </c>
      <c r="C118" s="480"/>
      <c r="D118" s="138">
        <f>IF(D54&lt;0,D54,0)</f>
        <v>-100000</v>
      </c>
      <c r="E118" s="254">
        <f>IF(E54&lt;0,E54,0)</f>
        <v>0</v>
      </c>
      <c r="F118" s="138"/>
    </row>
    <row r="119" spans="2:6" ht="14.1" hidden="1" customHeight="1" x14ac:dyDescent="0.2">
      <c r="B119" s="103" t="s">
        <v>347</v>
      </c>
      <c r="C119" s="383"/>
      <c r="D119" s="138">
        <f>IF(D71&lt;0,D71,0)</f>
        <v>0</v>
      </c>
      <c r="E119" s="254">
        <f>IF(E71&lt;0,E71,0)</f>
        <v>0</v>
      </c>
      <c r="F119" s="138"/>
    </row>
    <row r="120" spans="2:6" ht="14.1" hidden="1" customHeight="1" x14ac:dyDescent="0.2">
      <c r="B120" s="103" t="s">
        <v>348</v>
      </c>
      <c r="C120" s="383"/>
      <c r="D120" s="138">
        <f>IF(D74&lt;0,D74,0)</f>
        <v>0</v>
      </c>
      <c r="E120" s="254">
        <f>IF(E74&lt;0,E74,0)</f>
        <v>0</v>
      </c>
      <c r="F120" s="138"/>
    </row>
    <row r="121" spans="2:6" ht="14.1" hidden="1" customHeight="1" x14ac:dyDescent="0.2">
      <c r="B121" s="96" t="s">
        <v>352</v>
      </c>
      <c r="C121" s="480"/>
      <c r="D121" s="138">
        <f>IF(D76&lt;0,D76,0)</f>
        <v>0</v>
      </c>
      <c r="E121" s="254">
        <f>IF(E76&lt;0,E76,0)</f>
        <v>0</v>
      </c>
      <c r="F121" s="138"/>
    </row>
    <row r="122" spans="2:6" ht="14.1" hidden="1" customHeight="1" x14ac:dyDescent="0.2">
      <c r="B122" s="96" t="s">
        <v>353</v>
      </c>
      <c r="C122" s="480"/>
      <c r="D122" s="138">
        <f>IF(D77&lt;0,D77,0)</f>
        <v>0</v>
      </c>
      <c r="E122" s="254">
        <f>IF(E77&lt;0,E77,0)</f>
        <v>0</v>
      </c>
      <c r="F122" s="138"/>
    </row>
    <row r="123" spans="2:6" ht="14.1" hidden="1" customHeight="1" x14ac:dyDescent="0.2">
      <c r="B123" s="103" t="s">
        <v>349</v>
      </c>
      <c r="C123" s="383"/>
      <c r="D123" s="138">
        <f>IF(D84&lt;0,D84,0)</f>
        <v>0</v>
      </c>
      <c r="E123" s="254">
        <f>IF(E84&lt;0,E84,0)</f>
        <v>0</v>
      </c>
      <c r="F123" s="138"/>
    </row>
    <row r="124" spans="2:6" ht="14.1" hidden="1" customHeight="1" x14ac:dyDescent="0.2">
      <c r="B124" s="264" t="s">
        <v>7</v>
      </c>
      <c r="C124" s="487"/>
      <c r="D124" s="265">
        <f>SUM(D116:D123)</f>
        <v>-100000</v>
      </c>
      <c r="E124" s="266">
        <f>SUM(E116:E123)</f>
        <v>0</v>
      </c>
      <c r="F124" s="138"/>
    </row>
    <row r="125" spans="2:6" ht="14.1" hidden="1" customHeight="1" x14ac:dyDescent="0.2">
      <c r="D125" s="371">
        <v>10500</v>
      </c>
    </row>
    <row r="126" spans="2:6" ht="14.1" customHeight="1" x14ac:dyDescent="0.2"/>
    <row r="127" spans="2:6" ht="14.1" customHeight="1" x14ac:dyDescent="0.2"/>
    <row r="128" spans="2:6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</sheetData>
  <mergeCells count="6">
    <mergeCell ref="B96:E96"/>
    <mergeCell ref="G9:H9"/>
    <mergeCell ref="B3:E3"/>
    <mergeCell ref="A91:B91"/>
    <mergeCell ref="A92:B92"/>
    <mergeCell ref="A94:B94"/>
  </mergeCells>
  <phoneticPr fontId="0" type="noConversion"/>
  <conditionalFormatting sqref="D100:F100">
    <cfRule type="cellIs" dxfId="91" priority="137" stopIfTrue="1" operator="notEqual">
      <formula>D86</formula>
    </cfRule>
  </conditionalFormatting>
  <conditionalFormatting sqref="C64:F66 C61:F62 C15:F18">
    <cfRule type="cellIs" dxfId="90" priority="138" stopIfTrue="1" operator="lessThan">
      <formula>0</formula>
    </cfRule>
  </conditionalFormatting>
  <conditionalFormatting sqref="C68:F70">
    <cfRule type="cellIs" dxfId="89" priority="139" stopIfTrue="1" operator="greaterThan">
      <formula>0</formula>
    </cfRule>
  </conditionalFormatting>
  <conditionalFormatting sqref="C27:F27 C24:F25">
    <cfRule type="cellIs" dxfId="88" priority="130" stopIfTrue="1" operator="lessThan">
      <formula>0</formula>
    </cfRule>
  </conditionalFormatting>
  <conditionalFormatting sqref="C31:F31">
    <cfRule type="cellIs" dxfId="87" priority="129" stopIfTrue="1" operator="greaterThan">
      <formula>0</formula>
    </cfRule>
  </conditionalFormatting>
  <conditionalFormatting sqref="D38:D39">
    <cfRule type="cellIs" dxfId="86" priority="128" stopIfTrue="1" operator="greaterThan">
      <formula>0</formula>
    </cfRule>
  </conditionalFormatting>
  <conditionalFormatting sqref="C47:F47">
    <cfRule type="cellIs" dxfId="85" priority="125" stopIfTrue="1" operator="greaterThan">
      <formula>0</formula>
    </cfRule>
  </conditionalFormatting>
  <conditionalFormatting sqref="C56:F56">
    <cfRule type="cellIs" dxfId="84" priority="122" stopIfTrue="1" operator="lessThan">
      <formula>0</formula>
    </cfRule>
  </conditionalFormatting>
  <conditionalFormatting sqref="C57:F57">
    <cfRule type="cellIs" dxfId="83" priority="123" stopIfTrue="1" operator="greaterThan">
      <formula>0</formula>
    </cfRule>
  </conditionalFormatting>
  <conditionalFormatting sqref="D48:D49">
    <cfRule type="cellIs" dxfId="82" priority="116" stopIfTrue="1" operator="greaterThan">
      <formula>0</formula>
    </cfRule>
  </conditionalFormatting>
  <conditionalFormatting sqref="D50:D51">
    <cfRule type="cellIs" dxfId="81" priority="115" stopIfTrue="1" operator="lessThan">
      <formula>0</formula>
    </cfRule>
  </conditionalFormatting>
  <conditionalFormatting sqref="D42:D45">
    <cfRule type="cellIs" dxfId="80" priority="73" stopIfTrue="1" operator="greaterThan">
      <formula>0</formula>
    </cfRule>
  </conditionalFormatting>
  <conditionalFormatting sqref="D20:D23">
    <cfRule type="cellIs" dxfId="79" priority="45" stopIfTrue="1" operator="lessThan">
      <formula>0</formula>
    </cfRule>
  </conditionalFormatting>
  <conditionalFormatting sqref="C38:C39">
    <cfRule type="cellIs" dxfId="78" priority="15" stopIfTrue="1" operator="greaterThan">
      <formula>0</formula>
    </cfRule>
  </conditionalFormatting>
  <conditionalFormatting sqref="C48:C49">
    <cfRule type="cellIs" dxfId="77" priority="14" stopIfTrue="1" operator="greaterThan">
      <formula>0</formula>
    </cfRule>
  </conditionalFormatting>
  <conditionalFormatting sqref="C50:C51">
    <cfRule type="cellIs" dxfId="76" priority="13" stopIfTrue="1" operator="lessThan">
      <formula>0</formula>
    </cfRule>
  </conditionalFormatting>
  <conditionalFormatting sqref="C42:C45">
    <cfRule type="cellIs" dxfId="75" priority="12" stopIfTrue="1" operator="greaterThan">
      <formula>0</formula>
    </cfRule>
  </conditionalFormatting>
  <conditionalFormatting sqref="C20:C23">
    <cfRule type="cellIs" dxfId="74" priority="11" stopIfTrue="1" operator="lessThan">
      <formula>0</formula>
    </cfRule>
  </conditionalFormatting>
  <conditionalFormatting sqref="E38:E39">
    <cfRule type="cellIs" dxfId="73" priority="10" stopIfTrue="1" operator="greaterThan">
      <formula>0</formula>
    </cfRule>
  </conditionalFormatting>
  <conditionalFormatting sqref="E48:E49">
    <cfRule type="cellIs" dxfId="72" priority="9" stopIfTrue="1" operator="greaterThan">
      <formula>0</formula>
    </cfRule>
  </conditionalFormatting>
  <conditionalFormatting sqref="E50:E51">
    <cfRule type="cellIs" dxfId="71" priority="8" stopIfTrue="1" operator="lessThan">
      <formula>0</formula>
    </cfRule>
  </conditionalFormatting>
  <conditionalFormatting sqref="E42:E45">
    <cfRule type="cellIs" dxfId="70" priority="7" stopIfTrue="1" operator="greaterThan">
      <formula>0</formula>
    </cfRule>
  </conditionalFormatting>
  <conditionalFormatting sqref="E20:E23">
    <cfRule type="cellIs" dxfId="69" priority="6" stopIfTrue="1" operator="lessThan">
      <formula>0</formula>
    </cfRule>
  </conditionalFormatting>
  <conditionalFormatting sqref="F38:F39">
    <cfRule type="cellIs" dxfId="68" priority="5" stopIfTrue="1" operator="greaterThan">
      <formula>0</formula>
    </cfRule>
  </conditionalFormatting>
  <conditionalFormatting sqref="F48:F49">
    <cfRule type="cellIs" dxfId="67" priority="4" stopIfTrue="1" operator="greaterThan">
      <formula>0</formula>
    </cfRule>
  </conditionalFormatting>
  <conditionalFormatting sqref="F50:F51">
    <cfRule type="cellIs" dxfId="66" priority="3" stopIfTrue="1" operator="lessThan">
      <formula>0</formula>
    </cfRule>
  </conditionalFormatting>
  <conditionalFormatting sqref="F42:F45">
    <cfRule type="cellIs" dxfId="65" priority="2" stopIfTrue="1" operator="greaterThan">
      <formula>0</formula>
    </cfRule>
  </conditionalFormatting>
  <conditionalFormatting sqref="F20:F23">
    <cfRule type="cellIs" dxfId="64" priority="1" stopIfTrue="1" operator="lessThan">
      <formula>0</formula>
    </cfRule>
  </conditionalFormatting>
  <printOptions horizontalCentered="1" verticalCentered="1"/>
  <pageMargins left="0.15748031496062992" right="0.70866141732283472" top="0.55118110236220474" bottom="0.98425196850393704" header="0" footer="0.39370078740157483"/>
  <pageSetup paperSize="8" scale="79" orientation="portrait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1:P374"/>
  <sheetViews>
    <sheetView showZeros="0" topLeftCell="A56" zoomScaleNormal="100" workbookViewId="0">
      <selection activeCell="C83" sqref="C83:E84"/>
    </sheetView>
  </sheetViews>
  <sheetFormatPr baseColWidth="10" defaultRowHeight="14.25" x14ac:dyDescent="0.2"/>
  <cols>
    <col min="1" max="1" width="4.7109375" style="58" customWidth="1"/>
    <col min="2" max="2" width="53.7109375" style="58" customWidth="1"/>
    <col min="3" max="3" width="20.7109375" style="58" customWidth="1"/>
    <col min="4" max="5" width="20.7109375" style="140" customWidth="1"/>
    <col min="6" max="6" width="20.7109375" style="144" hidden="1" customWidth="1"/>
    <col min="7" max="7" width="0.28515625" style="144" hidden="1" customWidth="1"/>
    <col min="8" max="8" width="20.7109375" style="140" hidden="1" customWidth="1"/>
    <col min="9" max="9" width="18.140625" style="58" hidden="1" customWidth="1"/>
    <col min="10" max="11" width="14.85546875" style="58" bestFit="1" customWidth="1"/>
    <col min="12" max="14" width="11.42578125" style="58"/>
    <col min="15" max="15" width="14.28515625" style="58" customWidth="1"/>
    <col min="16" max="16384" width="11.42578125" style="58"/>
  </cols>
  <sheetData>
    <row r="1" spans="2:10" ht="15" customHeight="1" x14ac:dyDescent="0.2"/>
    <row r="2" spans="2:10" ht="15" customHeight="1" x14ac:dyDescent="0.2"/>
    <row r="3" spans="2:10" ht="22.5" customHeight="1" x14ac:dyDescent="0.2">
      <c r="B3" s="620"/>
      <c r="C3" s="620"/>
      <c r="D3" s="620"/>
      <c r="E3" s="386"/>
      <c r="H3" s="58"/>
    </row>
    <row r="4" spans="2:10" ht="18" customHeight="1" x14ac:dyDescent="0.2">
      <c r="B4" s="60">
        <f>PyG!B4</f>
        <v>0</v>
      </c>
      <c r="C4" s="60"/>
    </row>
    <row r="5" spans="2:10" ht="18" customHeight="1" x14ac:dyDescent="0.2">
      <c r="B5" s="62">
        <f>PyG!B5</f>
        <v>0</v>
      </c>
      <c r="C5" s="60"/>
    </row>
    <row r="6" spans="2:10" ht="18" customHeight="1" x14ac:dyDescent="0.2">
      <c r="B6" s="62">
        <f>PyG!B6</f>
        <v>0</v>
      </c>
      <c r="C6" s="60"/>
    </row>
    <row r="7" spans="2:10" ht="18" customHeight="1" x14ac:dyDescent="0.2">
      <c r="B7" s="62" t="str">
        <f>BAL!D5</f>
        <v>SOCIEDAD: EMPRESA MUNICIPAL DE LA VIVIENDA Y SUELO DE MADRID S.A.</v>
      </c>
      <c r="C7" s="60"/>
    </row>
    <row r="8" spans="2:10" ht="5.0999999999999996" customHeight="1" thickBot="1" x14ac:dyDescent="0.25">
      <c r="B8" s="60"/>
      <c r="C8" s="60"/>
      <c r="D8" s="337"/>
      <c r="E8" s="337"/>
      <c r="H8" s="337"/>
    </row>
    <row r="9" spans="2:10" ht="15.75" x14ac:dyDescent="0.2">
      <c r="B9" s="537"/>
      <c r="C9" s="55" t="s">
        <v>4</v>
      </c>
      <c r="D9" s="545" t="str">
        <f>+BAL!G7</f>
        <v>PREVISIÓN CIERRE</v>
      </c>
      <c r="E9" s="338" t="str">
        <f>+BAL!H7</f>
        <v>PRESUPUESTO</v>
      </c>
      <c r="G9" s="145"/>
      <c r="H9" s="64" t="s">
        <v>382</v>
      </c>
      <c r="I9" s="64" t="s">
        <v>406</v>
      </c>
    </row>
    <row r="10" spans="2:10" ht="16.5" thickBot="1" x14ac:dyDescent="0.25">
      <c r="B10" s="538"/>
      <c r="C10" s="209" t="str">
        <f>PyG!D10</f>
        <v>2022-2023</v>
      </c>
      <c r="D10" s="209">
        <f>+BAL!G8</f>
        <v>45291</v>
      </c>
      <c r="E10" s="542">
        <f>+BAL!H8</f>
        <v>45657</v>
      </c>
      <c r="G10" s="146"/>
      <c r="H10" s="237" t="s">
        <v>405</v>
      </c>
      <c r="I10" s="237"/>
    </row>
    <row r="11" spans="2:10" ht="14.1" customHeight="1" thickTop="1" x14ac:dyDescent="0.2">
      <c r="B11" s="539"/>
      <c r="C11" s="97"/>
      <c r="D11" s="546"/>
      <c r="E11" s="350"/>
      <c r="G11" s="138"/>
      <c r="H11" s="339"/>
      <c r="I11" s="59"/>
    </row>
    <row r="12" spans="2:10" ht="14.1" customHeight="1" x14ac:dyDescent="0.2">
      <c r="B12" s="108" t="s">
        <v>147</v>
      </c>
      <c r="C12" s="65"/>
      <c r="D12" s="286"/>
      <c r="E12" s="351"/>
      <c r="G12" s="138"/>
      <c r="H12" s="287"/>
      <c r="I12" s="59"/>
    </row>
    <row r="13" spans="2:10" ht="14.1" customHeight="1" x14ac:dyDescent="0.2">
      <c r="B13" s="96" t="s">
        <v>148</v>
      </c>
      <c r="C13" s="286">
        <f>+PyG!D79</f>
        <v>4241308.1599999946</v>
      </c>
      <c r="D13" s="286">
        <f>PyG!E79</f>
        <v>18869924.179999996</v>
      </c>
      <c r="E13" s="534">
        <f>PyG!F79</f>
        <v>15677737.199999996</v>
      </c>
      <c r="G13" s="138"/>
      <c r="H13" s="287" t="e">
        <f>PyG!#REF!</f>
        <v>#REF!</v>
      </c>
      <c r="I13" s="287" t="e">
        <f>PyG!#REF!</f>
        <v>#REF!</v>
      </c>
      <c r="J13" s="140"/>
    </row>
    <row r="14" spans="2:10" ht="14.1" customHeight="1" x14ac:dyDescent="0.2">
      <c r="B14" s="96" t="s">
        <v>149</v>
      </c>
      <c r="C14" s="286">
        <f>SUM(C15:C25)</f>
        <v>9377811.2599999979</v>
      </c>
      <c r="D14" s="286">
        <f>SUM(D15:D25)</f>
        <v>1870664.9300000004</v>
      </c>
      <c r="E14" s="534">
        <f>SUM(E15:E25)</f>
        <v>1811945.0899999999</v>
      </c>
      <c r="F14" s="146" t="e">
        <f>#REF!</f>
        <v>#REF!</v>
      </c>
      <c r="G14" s="625" t="s">
        <v>384</v>
      </c>
      <c r="H14" s="287" t="e">
        <f>SUM(H15:H25)</f>
        <v>#REF!</v>
      </c>
      <c r="I14" s="287" t="e">
        <f>SUM(I15:I25)</f>
        <v>#REF!</v>
      </c>
    </row>
    <row r="15" spans="2:10" ht="14.1" customHeight="1" x14ac:dyDescent="0.2">
      <c r="B15" s="73" t="s">
        <v>150</v>
      </c>
      <c r="C15" s="286">
        <f>-PyG!D46</f>
        <v>16002411.540000001</v>
      </c>
      <c r="D15" s="286">
        <f>-PyG!E46</f>
        <v>14929000</v>
      </c>
      <c r="E15" s="351">
        <f>-PyG!F46</f>
        <v>18004000</v>
      </c>
      <c r="F15" s="240" t="e">
        <f>#REF!</f>
        <v>#REF!</v>
      </c>
      <c r="G15" s="626"/>
      <c r="H15" s="287" t="e">
        <f>-PyG!#REF!</f>
        <v>#REF!</v>
      </c>
      <c r="I15" s="287" t="e">
        <f>-PyG!#REF!</f>
        <v>#REF!</v>
      </c>
    </row>
    <row r="16" spans="2:10" ht="14.1" customHeight="1" x14ac:dyDescent="0.2">
      <c r="B16" s="72" t="s">
        <v>151</v>
      </c>
      <c r="C16" s="288">
        <f>-PyG!D32-PyG!D53</f>
        <v>1615000</v>
      </c>
      <c r="D16" s="288">
        <v>1100000</v>
      </c>
      <c r="E16" s="299">
        <v>-2077054.9100000001</v>
      </c>
      <c r="F16" s="627" t="e">
        <f>-(PyG!#REF!+PyG!#REF!+PyG!#REF!+PyG!#REF!+PyG!#REF!+PyG!#REF!+PyG!#REF!)+#REF!</f>
        <v>#REF!</v>
      </c>
      <c r="G16" s="629" t="e">
        <f>-(PyG!E32+PyG!E40+PyG!E44+PyG!E51+PyG!E53+PyG!E70+PyG!E76)+#REF!</f>
        <v>#REF!</v>
      </c>
      <c r="H16" s="289" t="e">
        <f>-PyG!#REF!</f>
        <v>#REF!</v>
      </c>
      <c r="I16" s="289" t="e">
        <f>-PyG!#REF!</f>
        <v>#REF!</v>
      </c>
    </row>
    <row r="17" spans="1:11" ht="14.1" customHeight="1" x14ac:dyDescent="0.2">
      <c r="B17" s="72" t="s">
        <v>152</v>
      </c>
      <c r="C17" s="288">
        <f>-PyG!D44+0-PyG!D51</f>
        <v>1755399.7200000002</v>
      </c>
      <c r="D17" s="288">
        <v>-237250.59999999998</v>
      </c>
      <c r="E17" s="299">
        <v>10000</v>
      </c>
      <c r="F17" s="628"/>
      <c r="G17" s="630"/>
      <c r="H17" s="289">
        <v>1607790.11</v>
      </c>
      <c r="I17" s="346">
        <v>1607790.11</v>
      </c>
      <c r="J17" s="140"/>
    </row>
    <row r="18" spans="1:11" ht="14.1" customHeight="1" x14ac:dyDescent="0.2">
      <c r="B18" s="72" t="s">
        <v>153</v>
      </c>
      <c r="C18" s="286">
        <f>-PyG!D50</f>
        <v>-10000000</v>
      </c>
      <c r="D18" s="286">
        <f>-PyG!E50</f>
        <v>-12000000</v>
      </c>
      <c r="E18" s="351">
        <f>-PyG!F50</f>
        <v>-12400000</v>
      </c>
      <c r="F18" s="284" t="e">
        <f>F16-#REF!-#REF!</f>
        <v>#REF!</v>
      </c>
      <c r="G18" s="138"/>
      <c r="H18" s="287" t="e">
        <f>-PyG!#REF!</f>
        <v>#REF!</v>
      </c>
      <c r="I18" s="287" t="e">
        <f>-PyG!#REF!</f>
        <v>#REF!</v>
      </c>
    </row>
    <row r="19" spans="1:11" ht="14.1" customHeight="1" x14ac:dyDescent="0.2">
      <c r="B19" s="73" t="s">
        <v>154</v>
      </c>
      <c r="C19" s="286">
        <f>-PyG!D54</f>
        <v>100000</v>
      </c>
      <c r="D19" s="286">
        <f>-PyG!E54</f>
        <v>0</v>
      </c>
      <c r="E19" s="351">
        <f>-PyG!F54</f>
        <v>0</v>
      </c>
      <c r="G19" s="138"/>
      <c r="H19" s="287" t="e">
        <f>-PyG!#REF!</f>
        <v>#REF!</v>
      </c>
      <c r="I19" s="287" t="e">
        <f>-PyG!#REF!</f>
        <v>#REF!</v>
      </c>
    </row>
    <row r="20" spans="1:11" ht="14.1" customHeight="1" x14ac:dyDescent="0.2">
      <c r="A20" s="66"/>
      <c r="B20" s="73" t="s">
        <v>155</v>
      </c>
      <c r="C20" s="286">
        <v>0</v>
      </c>
      <c r="D20" s="286">
        <v>0</v>
      </c>
      <c r="E20" s="351">
        <v>0</v>
      </c>
      <c r="G20" s="138"/>
      <c r="H20" s="287" t="e">
        <f>-PyG!#REF!</f>
        <v>#REF!</v>
      </c>
      <c r="I20" s="287" t="e">
        <f>-PyG!#REF!</f>
        <v>#REF!</v>
      </c>
    </row>
    <row r="21" spans="1:11" ht="14.1" customHeight="1" x14ac:dyDescent="0.2">
      <c r="A21" s="66"/>
      <c r="B21" s="72" t="s">
        <v>156</v>
      </c>
      <c r="C21" s="286">
        <f>-PyG!D59</f>
        <v>-100000</v>
      </c>
      <c r="D21" s="286">
        <f>-PyG!E59</f>
        <v>-1940084.47</v>
      </c>
      <c r="E21" s="351">
        <f>-PyG!F59</f>
        <v>-1750000</v>
      </c>
      <c r="G21" s="138"/>
      <c r="H21" s="287" t="e">
        <f>-PyG!#REF!</f>
        <v>#REF!</v>
      </c>
      <c r="I21" s="287" t="e">
        <f>-PyG!#REF!</f>
        <v>#REF!</v>
      </c>
    </row>
    <row r="22" spans="1:11" ht="14.1" customHeight="1" x14ac:dyDescent="0.2">
      <c r="A22" s="66"/>
      <c r="B22" s="72" t="s">
        <v>157</v>
      </c>
      <c r="C22" s="286">
        <f>-PyG!D67</f>
        <v>5000</v>
      </c>
      <c r="D22" s="286">
        <f>-PyG!E67</f>
        <v>19000</v>
      </c>
      <c r="E22" s="351">
        <f>-PyG!F67</f>
        <v>25000</v>
      </c>
      <c r="H22" s="287" t="e">
        <f>-PyG!#REF!</f>
        <v>#REF!</v>
      </c>
      <c r="I22" s="287" t="e">
        <f>-PyG!#REF!</f>
        <v>#REF!</v>
      </c>
    </row>
    <row r="23" spans="1:11" ht="14.1" customHeight="1" x14ac:dyDescent="0.2">
      <c r="B23" s="72" t="s">
        <v>158</v>
      </c>
      <c r="C23" s="65">
        <v>0</v>
      </c>
      <c r="D23" s="286">
        <f>-PyG!E74</f>
        <v>0</v>
      </c>
      <c r="E23" s="351">
        <f>-PyG!F74</f>
        <v>0</v>
      </c>
      <c r="H23" s="287" t="e">
        <f>-PyG!#REF!</f>
        <v>#REF!</v>
      </c>
      <c r="I23" s="287" t="e">
        <f>-PyG!#REF!</f>
        <v>#REF!</v>
      </c>
    </row>
    <row r="24" spans="1:11" ht="14.1" customHeight="1" x14ac:dyDescent="0.2">
      <c r="B24" s="72" t="s">
        <v>159</v>
      </c>
      <c r="C24" s="65">
        <v>0</v>
      </c>
      <c r="D24" s="286">
        <f>-PyG!E71</f>
        <v>0</v>
      </c>
      <c r="E24" s="351">
        <f>-PyG!F71</f>
        <v>0</v>
      </c>
      <c r="F24" s="146" t="s">
        <v>383</v>
      </c>
      <c r="G24" s="625" t="str">
        <f>G14</f>
        <v>PREV.CIERRE</v>
      </c>
      <c r="H24" s="287" t="e">
        <f>-PyG!#REF!</f>
        <v>#REF!</v>
      </c>
      <c r="I24" s="287" t="e">
        <f>-PyG!#REF!</f>
        <v>#REF!</v>
      </c>
    </row>
    <row r="25" spans="1:11" ht="14.1" customHeight="1" x14ac:dyDescent="0.2">
      <c r="B25" s="72" t="s">
        <v>160</v>
      </c>
      <c r="C25" s="288"/>
      <c r="D25" s="288"/>
      <c r="E25" s="299"/>
      <c r="F25" s="240" t="e">
        <f>#REF!</f>
        <v>#REF!</v>
      </c>
      <c r="G25" s="626"/>
      <c r="H25" s="289"/>
      <c r="I25" s="289"/>
    </row>
    <row r="26" spans="1:11" ht="14.1" customHeight="1" x14ac:dyDescent="0.2">
      <c r="B26" s="540" t="s">
        <v>161</v>
      </c>
      <c r="C26" s="286">
        <f t="shared" ref="C26:H26" si="0">SUM(C27:C32)</f>
        <v>31545963.220000003</v>
      </c>
      <c r="D26" s="286">
        <f t="shared" si="0"/>
        <v>62088411.179999977</v>
      </c>
      <c r="E26" s="286">
        <f>SUM(E27:E32)</f>
        <v>-17372025.089999989</v>
      </c>
      <c r="F26" s="267" t="e">
        <f t="shared" si="0"/>
        <v>#REF!</v>
      </c>
      <c r="G26" s="268">
        <f t="shared" si="0"/>
        <v>63079813.299999975</v>
      </c>
      <c r="H26" s="287" t="e">
        <f t="shared" si="0"/>
        <v>#REF!</v>
      </c>
      <c r="I26" s="287" t="e">
        <f>SUM(I27:I32)</f>
        <v>#REF!</v>
      </c>
    </row>
    <row r="27" spans="1:11" ht="14.1" customHeight="1" x14ac:dyDescent="0.2">
      <c r="B27" s="72" t="s">
        <v>166</v>
      </c>
      <c r="C27" s="288">
        <v>-40000</v>
      </c>
      <c r="D27" s="288">
        <v>-2472726.84</v>
      </c>
      <c r="E27" s="288">
        <v>-2050000</v>
      </c>
      <c r="F27" s="269" t="e">
        <f>BAL!E35-BAL!#REF!</f>
        <v>#REF!</v>
      </c>
      <c r="G27" s="270">
        <f>BAL!E35-BAL!G35</f>
        <v>3009306.7200000025</v>
      </c>
      <c r="H27" s="289"/>
      <c r="I27" s="289"/>
      <c r="J27" s="465"/>
    </row>
    <row r="28" spans="1:11" ht="14.1" customHeight="1" x14ac:dyDescent="0.2">
      <c r="B28" s="72" t="s">
        <v>167</v>
      </c>
      <c r="C28" s="288">
        <v>31573776.109999999</v>
      </c>
      <c r="D28" s="288">
        <f>BAL!E42-BAL!G42</f>
        <v>46364376.37999998</v>
      </c>
      <c r="E28" s="288">
        <f>BAL!G42-BAL!H42</f>
        <v>-14862025.089999989</v>
      </c>
      <c r="F28" s="269" t="e">
        <f>BAL!E42-BAL!#REF!</f>
        <v>#REF!</v>
      </c>
      <c r="G28" s="270">
        <f>BAL!E42-BAL!G42</f>
        <v>46364376.37999998</v>
      </c>
      <c r="H28" s="289" t="e">
        <f>BAL!E42-BAL!#REF!</f>
        <v>#REF!</v>
      </c>
      <c r="I28" s="289">
        <v>1631426.71</v>
      </c>
      <c r="J28" s="140"/>
      <c r="K28" s="92"/>
    </row>
    <row r="29" spans="1:11" ht="14.1" customHeight="1" x14ac:dyDescent="0.2">
      <c r="B29" s="72" t="s">
        <v>168</v>
      </c>
      <c r="C29" s="288"/>
      <c r="D29" s="288"/>
      <c r="E29" s="288"/>
      <c r="F29" s="269" t="e">
        <f>BAL!E57-BAL!#REF!</f>
        <v>#REF!</v>
      </c>
      <c r="G29" s="270">
        <f>BAL!E57-BAL!G57</f>
        <v>-1000000</v>
      </c>
      <c r="H29" s="289" t="e">
        <f>BAL!E50-BAL!#REF!</f>
        <v>#REF!</v>
      </c>
      <c r="I29" s="289"/>
    </row>
    <row r="30" spans="1:11" ht="14.1" customHeight="1" x14ac:dyDescent="0.2">
      <c r="B30" s="72" t="s">
        <v>169</v>
      </c>
      <c r="C30" s="288">
        <v>1055488.8800000027</v>
      </c>
      <c r="D30" s="288">
        <f>BAL!L60-BAL!J60</f>
        <v>18415249.690000001</v>
      </c>
      <c r="E30" s="288">
        <f>BAL!M60-BAL!L60</f>
        <v>-460000</v>
      </c>
      <c r="F30" s="269" t="e">
        <f>BAL!#REF!-BAL!J60</f>
        <v>#REF!</v>
      </c>
      <c r="G30" s="270">
        <f>BAL!L60-BAL!J60</f>
        <v>18415249.690000001</v>
      </c>
      <c r="H30" s="344">
        <v>-10386394.619999999</v>
      </c>
      <c r="I30" s="344" t="e">
        <f>+BAL!#REF!-BAL!J60</f>
        <v>#REF!</v>
      </c>
    </row>
    <row r="31" spans="1:11" ht="14.1" customHeight="1" x14ac:dyDescent="0.2">
      <c r="B31" s="72" t="s">
        <v>170</v>
      </c>
      <c r="C31" s="288">
        <v>-1043301.77</v>
      </c>
      <c r="D31" s="288">
        <f>BAL!L59-BAL!J59</f>
        <v>-218488.05000000002</v>
      </c>
      <c r="E31" s="288">
        <f>BAL!M59-BAL!K59</f>
        <v>0</v>
      </c>
      <c r="F31" s="269" t="e">
        <f>(BAL!#REF!+BAL!#REF!)-(BAL!J59+BAL!J68)</f>
        <v>#REF!</v>
      </c>
      <c r="G31" s="270">
        <f>(BAL!L59+BAL!L68)-(BAL!J59+BAL!J68)</f>
        <v>-3709119.4900000021</v>
      </c>
      <c r="H31" s="289" t="e">
        <f>BAL!#REF!-BAL!J59</f>
        <v>#REF!</v>
      </c>
      <c r="I31" s="289" t="e">
        <f>BAL!#REF!-BAL!J59</f>
        <v>#REF!</v>
      </c>
    </row>
    <row r="32" spans="1:11" ht="14.1" customHeight="1" x14ac:dyDescent="0.2">
      <c r="B32" s="72" t="s">
        <v>171</v>
      </c>
      <c r="C32" s="288"/>
      <c r="D32" s="288"/>
      <c r="E32" s="288"/>
      <c r="F32" s="271" t="e">
        <f>(BAL!E34-BAL!#REF!)+(BAL!#REF!-BAL!J52)</f>
        <v>#REF!</v>
      </c>
      <c r="G32" s="272">
        <f>(BAL!E34-BAL!G34)+(BAL!L52-BAL!J52)</f>
        <v>0</v>
      </c>
      <c r="H32" s="289"/>
      <c r="I32" s="289"/>
    </row>
    <row r="33" spans="2:11" ht="14.1" customHeight="1" x14ac:dyDescent="0.2">
      <c r="B33" s="96" t="s">
        <v>172</v>
      </c>
      <c r="C33" s="286">
        <f>SUM(C34:C38)</f>
        <v>-24584216.949999999</v>
      </c>
      <c r="D33" s="286">
        <f>SUM(D34:D38)</f>
        <v>-36835492.139999941</v>
      </c>
      <c r="E33" s="286">
        <f>SUM(E34:E38)</f>
        <v>9408285.3699999992</v>
      </c>
      <c r="H33" s="287" t="e">
        <f>SUM(H34:H38)</f>
        <v>#REF!</v>
      </c>
      <c r="I33" s="287" t="e">
        <f>SUM(I34:I38)</f>
        <v>#REF!</v>
      </c>
    </row>
    <row r="34" spans="2:11" ht="14.1" customHeight="1" x14ac:dyDescent="0.2">
      <c r="B34" s="72" t="s">
        <v>215</v>
      </c>
      <c r="C34" s="288">
        <v>-5000</v>
      </c>
      <c r="D34" s="288">
        <f>+PyG!E69</f>
        <v>-19000</v>
      </c>
      <c r="E34" s="288">
        <f>+PyG!F69</f>
        <v>-25000</v>
      </c>
      <c r="H34" s="344" t="e">
        <f>+PyG!#REF!+499558-306781.68-293696</f>
        <v>#REF!</v>
      </c>
      <c r="I34" s="344" t="e">
        <f>+PyG!#REF!+499558-306781.68-293696</f>
        <v>#REF!</v>
      </c>
      <c r="J34" s="92"/>
      <c r="K34" s="140"/>
    </row>
    <row r="35" spans="2:11" ht="14.1" customHeight="1" x14ac:dyDescent="0.2">
      <c r="B35" s="72" t="s">
        <v>216</v>
      </c>
      <c r="C35" s="288"/>
      <c r="D35" s="288"/>
      <c r="E35" s="288"/>
      <c r="H35" s="289"/>
      <c r="I35" s="289"/>
    </row>
    <row r="36" spans="2:11" ht="14.1" customHeight="1" x14ac:dyDescent="0.2">
      <c r="B36" s="72" t="s">
        <v>217</v>
      </c>
      <c r="C36" s="288">
        <v>100000</v>
      </c>
      <c r="D36" s="288">
        <f>+PyG!E65</f>
        <v>1940084.47</v>
      </c>
      <c r="E36" s="288">
        <f>+PyG!F65</f>
        <v>1750000</v>
      </c>
      <c r="H36" s="289" t="e">
        <f>+PyG!#REF!</f>
        <v>#REF!</v>
      </c>
      <c r="I36" s="289" t="e">
        <f>+PyG!#REF!</f>
        <v>#REF!</v>
      </c>
    </row>
    <row r="37" spans="2:11" ht="14.1" customHeight="1" x14ac:dyDescent="0.2">
      <c r="B37" s="72" t="s">
        <v>173</v>
      </c>
      <c r="C37" s="290">
        <v>2000</v>
      </c>
      <c r="D37" s="290">
        <f>-(+PyG!E93+PyG!E94)</f>
        <v>14898.970000000001</v>
      </c>
      <c r="E37" s="290">
        <f>-(+PyG!F93+PyG!F94)</f>
        <v>368616</v>
      </c>
      <c r="H37" s="291">
        <v>-4440.13</v>
      </c>
      <c r="I37" s="291">
        <v>-4440.13</v>
      </c>
      <c r="J37" s="92"/>
    </row>
    <row r="38" spans="2:11" ht="14.1" customHeight="1" x14ac:dyDescent="0.2">
      <c r="B38" s="72" t="s">
        <v>329</v>
      </c>
      <c r="C38" s="305">
        <v>-24681216.949999999</v>
      </c>
      <c r="D38" s="305">
        <v>-38771475.579999939</v>
      </c>
      <c r="E38" s="305">
        <f>12314669.37-5000000</f>
        <v>7314669.3699999992</v>
      </c>
      <c r="H38" s="345">
        <v>-1576467.27</v>
      </c>
      <c r="I38" s="346">
        <v>-1573342.27</v>
      </c>
      <c r="J38" s="140"/>
    </row>
    <row r="39" spans="2:11" ht="14.1" customHeight="1" x14ac:dyDescent="0.2">
      <c r="B39" s="541" t="s">
        <v>183</v>
      </c>
      <c r="C39" s="297">
        <f>C13+C14+C26+C33</f>
        <v>20580865.689999994</v>
      </c>
      <c r="D39" s="297">
        <f>D13+D14+D26+D33</f>
        <v>45993508.150000036</v>
      </c>
      <c r="E39" s="353">
        <f>E13+E14+E26+E33</f>
        <v>9525942.5700000059</v>
      </c>
      <c r="H39" s="298" t="e">
        <f>H13+H14+H26+H33</f>
        <v>#REF!</v>
      </c>
      <c r="I39" s="298" t="e">
        <f>I13+I14+I26+I33</f>
        <v>#REF!</v>
      </c>
    </row>
    <row r="40" spans="2:11" ht="14.1" customHeight="1" x14ac:dyDescent="0.2">
      <c r="B40" s="96"/>
      <c r="C40" s="547"/>
      <c r="D40" s="548"/>
      <c r="E40" s="354"/>
      <c r="H40" s="308"/>
      <c r="I40" s="308"/>
    </row>
    <row r="41" spans="2:11" ht="14.1" customHeight="1" x14ac:dyDescent="0.2">
      <c r="B41" s="108" t="s">
        <v>174</v>
      </c>
      <c r="C41" s="65"/>
      <c r="D41" s="286"/>
      <c r="E41" s="351"/>
      <c r="F41" s="146" t="s">
        <v>383</v>
      </c>
      <c r="G41" s="625" t="str">
        <f>G24</f>
        <v>PREV.CIERRE</v>
      </c>
      <c r="H41" s="287"/>
      <c r="I41" s="287"/>
    </row>
    <row r="42" spans="2:11" ht="14.1" customHeight="1" x14ac:dyDescent="0.2">
      <c r="B42" s="103" t="s">
        <v>175</v>
      </c>
      <c r="C42" s="286">
        <f>SUM(C43:C48)</f>
        <v>-96015106.739999995</v>
      </c>
      <c r="D42" s="286">
        <f>SUM(D43:D48)</f>
        <v>-111056144.16999999</v>
      </c>
      <c r="E42" s="351">
        <f>SUM(E43:E48)</f>
        <v>-131010762.01000001</v>
      </c>
      <c r="F42" s="240" t="e">
        <f>#REF!</f>
        <v>#REF!</v>
      </c>
      <c r="G42" s="626"/>
      <c r="H42" s="287" t="e">
        <f>SUM(H43:H48)</f>
        <v>#REF!</v>
      </c>
      <c r="I42" s="287" t="e">
        <f>SUM(I43:I48)</f>
        <v>#REF!</v>
      </c>
    </row>
    <row r="43" spans="2:11" ht="14.1" customHeight="1" x14ac:dyDescent="0.2">
      <c r="B43" s="73" t="s">
        <v>176</v>
      </c>
      <c r="C43" s="288">
        <v>-210000</v>
      </c>
      <c r="D43" s="288">
        <f>-PAIF!D15</f>
        <v>-250000</v>
      </c>
      <c r="E43" s="288">
        <f>-PAIF!E15</f>
        <v>-154000</v>
      </c>
      <c r="F43" s="267" t="e">
        <f>-PAIF!#REF!</f>
        <v>#REF!</v>
      </c>
      <c r="G43" s="268">
        <f>-PAIF!D12</f>
        <v>-250000</v>
      </c>
      <c r="H43" s="289" t="e">
        <f>-PAIF!#REF!</f>
        <v>#REF!</v>
      </c>
      <c r="I43" s="289" t="e">
        <f>-PAIF!#REF!</f>
        <v>#REF!</v>
      </c>
    </row>
    <row r="44" spans="2:11" ht="14.1" customHeight="1" x14ac:dyDescent="0.2">
      <c r="B44" s="73" t="s">
        <v>177</v>
      </c>
      <c r="C44" s="288">
        <v>-370000</v>
      </c>
      <c r="D44" s="288">
        <f>-PAIF!D17</f>
        <v>-390000</v>
      </c>
      <c r="E44" s="288">
        <f>-PAIF!E17</f>
        <v>-270000</v>
      </c>
      <c r="F44" s="269" t="e">
        <f>-PAIF!#REF!</f>
        <v>#REF!</v>
      </c>
      <c r="G44" s="270">
        <f>-PAIF!D17</f>
        <v>-390000</v>
      </c>
      <c r="H44" s="344" t="e">
        <f>-PAIF!#REF!</f>
        <v>#REF!</v>
      </c>
      <c r="I44" s="344" t="e">
        <f>-PAIF!#REF!</f>
        <v>#REF!</v>
      </c>
    </row>
    <row r="45" spans="2:11" ht="13.5" customHeight="1" x14ac:dyDescent="0.2">
      <c r="B45" s="73" t="s">
        <v>178</v>
      </c>
      <c r="C45" s="288">
        <v>-94385106.739999995</v>
      </c>
      <c r="D45" s="288">
        <f>-666709.46-PAIF!D25</f>
        <v>-110015809.49999999</v>
      </c>
      <c r="E45" s="288">
        <f>-PAIF!E25-100000</f>
        <v>-130389682.01000001</v>
      </c>
      <c r="F45" s="269" t="e">
        <f>-PAIF!#REF!</f>
        <v>#REF!</v>
      </c>
      <c r="G45" s="270">
        <f>-PAIF!D23</f>
        <v>-136045645.53</v>
      </c>
      <c r="H45" s="289" t="e">
        <f>-PAIF!#REF!</f>
        <v>#REF!</v>
      </c>
      <c r="I45" s="289" t="e">
        <f>-PAIF!#REF!</f>
        <v>#REF!</v>
      </c>
    </row>
    <row r="46" spans="2:11" ht="13.5" customHeight="1" x14ac:dyDescent="0.2">
      <c r="B46" s="73" t="s">
        <v>179</v>
      </c>
      <c r="C46" s="288">
        <v>-1000000</v>
      </c>
      <c r="D46" s="288">
        <f>-PAIF!D32</f>
        <v>-397334.67</v>
      </c>
      <c r="E46" s="288">
        <f>-PAIF!E32</f>
        <v>-192080</v>
      </c>
      <c r="F46" s="271" t="e">
        <f>-PAIF!#REF!</f>
        <v>#REF!</v>
      </c>
      <c r="G46" s="272">
        <f>-PAIF!D26</f>
        <v>-400334.67</v>
      </c>
      <c r="H46" s="289"/>
      <c r="I46" s="289"/>
    </row>
    <row r="47" spans="2:11" ht="13.5" customHeight="1" x14ac:dyDescent="0.2">
      <c r="B47" s="73" t="s">
        <v>180</v>
      </c>
      <c r="C47" s="288"/>
      <c r="D47" s="288"/>
      <c r="E47" s="288"/>
      <c r="H47" s="289"/>
      <c r="I47" s="289"/>
    </row>
    <row r="48" spans="2:11" ht="13.5" customHeight="1" x14ac:dyDescent="0.2">
      <c r="B48" s="73" t="s">
        <v>181</v>
      </c>
      <c r="C48" s="288">
        <v>-50000</v>
      </c>
      <c r="D48" s="288">
        <f>-PAIF!D28</f>
        <v>-3000</v>
      </c>
      <c r="E48" s="288">
        <f>-PAIF!E28</f>
        <v>-5000</v>
      </c>
      <c r="H48" s="289"/>
      <c r="I48" s="289"/>
    </row>
    <row r="49" spans="2:16" ht="13.5" customHeight="1" x14ac:dyDescent="0.2">
      <c r="B49" s="103" t="s">
        <v>186</v>
      </c>
      <c r="C49" s="286">
        <f>SUM(C50:C55)</f>
        <v>1100000</v>
      </c>
      <c r="D49" s="286">
        <f>SUM(D50:D55)</f>
        <v>1199843.0900000001</v>
      </c>
      <c r="E49" s="286">
        <f>SUM(E50:E55)</f>
        <v>869531.47</v>
      </c>
      <c r="H49" s="287">
        <f>SUM(H50:H55)</f>
        <v>1000848</v>
      </c>
      <c r="I49" s="287">
        <f>SUM(I50:I55)</f>
        <v>1000848</v>
      </c>
    </row>
    <row r="50" spans="2:16" ht="13.5" customHeight="1" x14ac:dyDescent="0.2">
      <c r="B50" s="73" t="s">
        <v>176</v>
      </c>
      <c r="C50" s="288"/>
      <c r="D50" s="288"/>
      <c r="E50" s="288"/>
      <c r="F50" s="267" t="e">
        <f>PAIF!#REF!</f>
        <v>#REF!</v>
      </c>
      <c r="G50" s="268">
        <f>PAIF!H40</f>
        <v>0</v>
      </c>
      <c r="H50" s="289"/>
      <c r="I50" s="289"/>
    </row>
    <row r="51" spans="2:16" ht="13.5" customHeight="1" x14ac:dyDescent="0.2">
      <c r="B51" s="73" t="s">
        <v>177</v>
      </c>
      <c r="C51" s="288">
        <f>+PAIF!G41</f>
        <v>0</v>
      </c>
      <c r="D51" s="288">
        <f>+PAIF!H41</f>
        <v>0</v>
      </c>
      <c r="E51" s="288">
        <f>+PAIF!I41</f>
        <v>0</v>
      </c>
      <c r="F51" s="269" t="e">
        <f>PAIF!#REF!</f>
        <v>#REF!</v>
      </c>
      <c r="G51" s="270">
        <f>PAIF!H41</f>
        <v>0</v>
      </c>
      <c r="H51" s="289"/>
      <c r="I51" s="289"/>
    </row>
    <row r="52" spans="2:16" ht="13.5" customHeight="1" x14ac:dyDescent="0.2">
      <c r="B52" s="73" t="s">
        <v>178</v>
      </c>
      <c r="C52" s="288">
        <v>500000</v>
      </c>
      <c r="D52" s="288">
        <f>+PAIF!H42</f>
        <v>0</v>
      </c>
      <c r="E52" s="288">
        <f>+PAIF!I42</f>
        <v>0</v>
      </c>
      <c r="F52" s="269" t="e">
        <f>PAIF!#REF!</f>
        <v>#REF!</v>
      </c>
      <c r="G52" s="270">
        <f>PAIF!H42</f>
        <v>0</v>
      </c>
      <c r="H52" s="289"/>
      <c r="I52" s="289"/>
    </row>
    <row r="53" spans="2:16" ht="13.5" customHeight="1" x14ac:dyDescent="0.2">
      <c r="B53" s="73" t="s">
        <v>179</v>
      </c>
      <c r="C53" s="288">
        <v>600000</v>
      </c>
      <c r="D53" s="288">
        <f>PAIF!H43</f>
        <v>1199843.0900000001</v>
      </c>
      <c r="E53" s="288">
        <f>PAIF!I43</f>
        <v>869531.47</v>
      </c>
      <c r="F53" s="269" t="e">
        <f>PAIF!#REF!</f>
        <v>#REF!</v>
      </c>
      <c r="G53" s="270">
        <f>PAIF!H43</f>
        <v>1199843.0900000001</v>
      </c>
      <c r="H53" s="289">
        <v>1000000</v>
      </c>
      <c r="I53" s="289">
        <v>1000000</v>
      </c>
      <c r="J53" s="360"/>
    </row>
    <row r="54" spans="2:16" ht="13.5" customHeight="1" x14ac:dyDescent="0.2">
      <c r="B54" s="73" t="s">
        <v>180</v>
      </c>
      <c r="C54" s="288"/>
      <c r="D54" s="288"/>
      <c r="E54" s="288"/>
      <c r="F54" s="271" t="e">
        <f>PAIF!#REF!+PAIF!#REF!</f>
        <v>#REF!</v>
      </c>
      <c r="G54" s="272">
        <f>PAIF!H44+PAIF!H45</f>
        <v>0</v>
      </c>
      <c r="H54" s="289"/>
      <c r="I54" s="289"/>
    </row>
    <row r="55" spans="2:16" ht="13.5" customHeight="1" x14ac:dyDescent="0.2">
      <c r="B55" s="73" t="s">
        <v>181</v>
      </c>
      <c r="C55" s="288"/>
      <c r="D55" s="288"/>
      <c r="E55" s="288"/>
      <c r="H55" s="289">
        <v>848</v>
      </c>
      <c r="I55" s="289">
        <v>848</v>
      </c>
    </row>
    <row r="56" spans="2:16" ht="14.1" customHeight="1" x14ac:dyDescent="0.2">
      <c r="B56" s="100" t="s">
        <v>182</v>
      </c>
      <c r="C56" s="297">
        <f>C42+C49</f>
        <v>-94915106.739999995</v>
      </c>
      <c r="D56" s="297">
        <f>D42+D49</f>
        <v>-109856301.07999998</v>
      </c>
      <c r="E56" s="297">
        <f>E42+E49</f>
        <v>-130141230.54000001</v>
      </c>
      <c r="H56" s="298" t="e">
        <f>H42+H49</f>
        <v>#REF!</v>
      </c>
      <c r="I56" s="298" t="e">
        <f>I42+I49</f>
        <v>#REF!</v>
      </c>
    </row>
    <row r="57" spans="2:16" ht="13.5" customHeight="1" x14ac:dyDescent="0.2">
      <c r="B57" s="103"/>
      <c r="C57" s="65"/>
      <c r="D57" s="65"/>
      <c r="E57" s="65"/>
      <c r="H57" s="287"/>
      <c r="I57" s="287"/>
    </row>
    <row r="58" spans="2:16" ht="13.5" customHeight="1" x14ac:dyDescent="0.2">
      <c r="B58" s="105" t="s">
        <v>184</v>
      </c>
      <c r="C58" s="65"/>
      <c r="D58" s="65"/>
      <c r="E58" s="65"/>
      <c r="F58" s="147" t="str">
        <f>F41</f>
        <v>REAL A</v>
      </c>
      <c r="G58" s="625" t="str">
        <f>G41</f>
        <v>PREV.CIERRE</v>
      </c>
      <c r="H58" s="287"/>
      <c r="I58" s="287"/>
    </row>
    <row r="59" spans="2:16" ht="13.5" customHeight="1" x14ac:dyDescent="0.2">
      <c r="B59" s="103" t="s">
        <v>185</v>
      </c>
      <c r="C59" s="286">
        <f>SUM(C60:C62)</f>
        <v>74388320.599999994</v>
      </c>
      <c r="D59" s="286">
        <f>SUM(D60:D62)</f>
        <v>53718321</v>
      </c>
      <c r="E59" s="286">
        <f>SUM(E60:E62)</f>
        <v>62888321</v>
      </c>
      <c r="F59" s="240" t="e">
        <f>#REF!</f>
        <v>#REF!</v>
      </c>
      <c r="G59" s="626"/>
      <c r="H59" s="287">
        <f>SUM(H60:H62)</f>
        <v>51865860.359999999</v>
      </c>
      <c r="I59" s="287">
        <f>SUM(I60:I62)</f>
        <v>51865842.200000003</v>
      </c>
    </row>
    <row r="60" spans="2:16" ht="13.5" customHeight="1" x14ac:dyDescent="0.2">
      <c r="B60" s="73" t="s">
        <v>187</v>
      </c>
      <c r="C60" s="288"/>
      <c r="D60" s="288"/>
      <c r="E60" s="288"/>
      <c r="F60" s="267" t="e">
        <f>PAIF!#REF!</f>
        <v>#REF!</v>
      </c>
      <c r="G60" s="268">
        <f>PAIF!H25</f>
        <v>0</v>
      </c>
      <c r="H60" s="289">
        <v>29718987.359999999</v>
      </c>
      <c r="I60" s="289">
        <v>29718969.200000003</v>
      </c>
    </row>
    <row r="61" spans="2:16" ht="13.5" customHeight="1" x14ac:dyDescent="0.2">
      <c r="B61" s="73" t="s">
        <v>188</v>
      </c>
      <c r="C61" s="288"/>
      <c r="D61" s="288"/>
      <c r="E61" s="288"/>
      <c r="F61" s="271" t="e">
        <f>-PAIF!#REF!</f>
        <v>#REF!</v>
      </c>
      <c r="G61" s="272">
        <f>-PAIF!D35</f>
        <v>0</v>
      </c>
      <c r="H61" s="289"/>
      <c r="I61" s="289"/>
    </row>
    <row r="62" spans="2:16" ht="13.5" customHeight="1" x14ac:dyDescent="0.2">
      <c r="B62" s="73" t="s">
        <v>189</v>
      </c>
      <c r="C62" s="288">
        <v>74388320.599999994</v>
      </c>
      <c r="D62" s="288">
        <v>53718321</v>
      </c>
      <c r="E62" s="288">
        <v>62888321</v>
      </c>
      <c r="F62" s="273" t="e">
        <f>PAIF!#REF!</f>
        <v>#REF!</v>
      </c>
      <c r="G62" s="274">
        <f>PAIF!H29</f>
        <v>46762176.030000001</v>
      </c>
      <c r="H62" s="289">
        <f>15350000+6796873</f>
        <v>22146873</v>
      </c>
      <c r="I62" s="289">
        <f>15350000+6796873</f>
        <v>22146873</v>
      </c>
      <c r="J62" s="150"/>
      <c r="O62" s="140"/>
      <c r="P62" s="92"/>
    </row>
    <row r="63" spans="2:16" ht="13.5" customHeight="1" x14ac:dyDescent="0.2">
      <c r="B63" s="103" t="s">
        <v>190</v>
      </c>
      <c r="C63" s="286">
        <f>C64+C68</f>
        <v>0</v>
      </c>
      <c r="D63" s="286">
        <f>D64+D68</f>
        <v>0</v>
      </c>
      <c r="E63" s="351">
        <f>E64+E68</f>
        <v>0</v>
      </c>
      <c r="H63" s="287">
        <f>H64+H68</f>
        <v>-18153096</v>
      </c>
      <c r="I63" s="287">
        <f>I64+I68</f>
        <v>-18153096</v>
      </c>
      <c r="P63" s="92"/>
    </row>
    <row r="64" spans="2:16" ht="13.5" customHeight="1" x14ac:dyDescent="0.2">
      <c r="B64" s="73" t="s">
        <v>191</v>
      </c>
      <c r="C64" s="286">
        <f>SUM(C65:C67)</f>
        <v>0</v>
      </c>
      <c r="D64" s="286">
        <f>SUM(D65:D67)</f>
        <v>0</v>
      </c>
      <c r="E64" s="351">
        <f>SUM(E65:E67)</f>
        <v>0</v>
      </c>
      <c r="H64" s="287">
        <f>SUM(H65:H67)</f>
        <v>0</v>
      </c>
      <c r="I64" s="287">
        <f>SUM(I65:I67)</f>
        <v>0</v>
      </c>
      <c r="P64" s="92"/>
    </row>
    <row r="65" spans="2:11" ht="13.5" customHeight="1" x14ac:dyDescent="0.2">
      <c r="B65" s="73" t="s">
        <v>231</v>
      </c>
      <c r="C65" s="288"/>
      <c r="D65" s="288"/>
      <c r="E65" s="299"/>
      <c r="H65" s="289"/>
      <c r="I65" s="289"/>
    </row>
    <row r="66" spans="2:11" ht="13.5" customHeight="1" x14ac:dyDescent="0.2">
      <c r="B66" s="73" t="s">
        <v>305</v>
      </c>
      <c r="C66" s="288"/>
      <c r="D66" s="288"/>
      <c r="E66" s="299"/>
      <c r="H66" s="289"/>
      <c r="I66" s="289"/>
    </row>
    <row r="67" spans="2:11" ht="13.5" customHeight="1" x14ac:dyDescent="0.2">
      <c r="B67" s="73" t="s">
        <v>218</v>
      </c>
      <c r="C67" s="288"/>
      <c r="D67" s="288"/>
      <c r="E67" s="299"/>
      <c r="H67" s="289"/>
      <c r="I67" s="289"/>
    </row>
    <row r="68" spans="2:11" ht="13.5" customHeight="1" x14ac:dyDescent="0.2">
      <c r="B68" s="73" t="s">
        <v>192</v>
      </c>
      <c r="C68" s="286">
        <f>SUM(C69:C71)</f>
        <v>0</v>
      </c>
      <c r="D68" s="286">
        <f>SUM(D69:D71)</f>
        <v>0</v>
      </c>
      <c r="E68" s="351">
        <f>SUM(E69:E71)</f>
        <v>0</v>
      </c>
      <c r="H68" s="287">
        <f>SUM(H69:H71)</f>
        <v>-18153096</v>
      </c>
      <c r="I68" s="287">
        <f>SUM(I69:I71)</f>
        <v>-18153096</v>
      </c>
    </row>
    <row r="69" spans="2:11" ht="13.5" customHeight="1" x14ac:dyDescent="0.2">
      <c r="B69" s="73" t="s">
        <v>231</v>
      </c>
      <c r="C69" s="288"/>
      <c r="D69" s="288">
        <f>-PAIF!D40</f>
        <v>0</v>
      </c>
      <c r="E69" s="543">
        <f>-PAIF!E40</f>
        <v>0</v>
      </c>
      <c r="H69" s="289">
        <v>-15335318</v>
      </c>
      <c r="I69" s="289">
        <v>-15335318</v>
      </c>
      <c r="J69" s="92"/>
      <c r="K69" s="140"/>
    </row>
    <row r="70" spans="2:11" ht="13.5" customHeight="1" x14ac:dyDescent="0.2">
      <c r="B70" s="73" t="s">
        <v>305</v>
      </c>
      <c r="C70" s="288"/>
      <c r="D70" s="288"/>
      <c r="E70" s="299"/>
      <c r="H70" s="289"/>
      <c r="I70" s="289"/>
    </row>
    <row r="71" spans="2:11" ht="13.5" customHeight="1" x14ac:dyDescent="0.2">
      <c r="B71" s="73" t="s">
        <v>218</v>
      </c>
      <c r="C71" s="288"/>
      <c r="D71" s="288"/>
      <c r="E71" s="299"/>
      <c r="H71" s="295">
        <v>-2817778</v>
      </c>
      <c r="I71" s="295">
        <v>-2817778</v>
      </c>
      <c r="J71" s="92"/>
    </row>
    <row r="72" spans="2:11" ht="13.5" customHeight="1" x14ac:dyDescent="0.2">
      <c r="B72" s="103" t="s">
        <v>193</v>
      </c>
      <c r="C72" s="286">
        <f>SUM(C73:C74)</f>
        <v>0</v>
      </c>
      <c r="D72" s="286">
        <f>SUM(D73:D74)</f>
        <v>0</v>
      </c>
      <c r="E72" s="351">
        <f>SUM(E73:E74)</f>
        <v>0</v>
      </c>
      <c r="H72" s="287">
        <f>SUM(H73:H74)</f>
        <v>0</v>
      </c>
      <c r="I72" s="287">
        <f>SUM(I73:I74)</f>
        <v>0</v>
      </c>
    </row>
    <row r="73" spans="2:11" ht="13.5" customHeight="1" x14ac:dyDescent="0.2">
      <c r="B73" s="72" t="s">
        <v>194</v>
      </c>
      <c r="C73" s="288"/>
      <c r="D73" s="288"/>
      <c r="E73" s="299"/>
      <c r="H73" s="289"/>
      <c r="I73" s="289"/>
    </row>
    <row r="74" spans="2:11" ht="13.5" customHeight="1" x14ac:dyDescent="0.2">
      <c r="B74" s="72" t="s">
        <v>195</v>
      </c>
      <c r="C74" s="288"/>
      <c r="D74" s="288"/>
      <c r="E74" s="299"/>
      <c r="H74" s="289"/>
      <c r="I74" s="289"/>
    </row>
    <row r="75" spans="2:11" ht="14.1" customHeight="1" x14ac:dyDescent="0.2">
      <c r="B75" s="541" t="s">
        <v>196</v>
      </c>
      <c r="C75" s="297">
        <f>C59+C63+C72</f>
        <v>74388320.599999994</v>
      </c>
      <c r="D75" s="297">
        <f>D59+D63+D72</f>
        <v>53718321</v>
      </c>
      <c r="E75" s="353">
        <f>E59+E63+E72</f>
        <v>62888321</v>
      </c>
      <c r="H75" s="298">
        <f>H59+H63+H72</f>
        <v>33712764.359999999</v>
      </c>
      <c r="I75" s="298">
        <f>I59+I63+I72</f>
        <v>33712746.200000003</v>
      </c>
    </row>
    <row r="76" spans="2:11" ht="13.5" customHeight="1" x14ac:dyDescent="0.2">
      <c r="B76" s="72"/>
      <c r="C76" s="112"/>
      <c r="D76" s="290"/>
      <c r="E76" s="352"/>
      <c r="H76" s="291"/>
      <c r="I76" s="291"/>
    </row>
    <row r="77" spans="2:11" ht="13.5" customHeight="1" x14ac:dyDescent="0.2">
      <c r="B77" s="110" t="s">
        <v>197</v>
      </c>
      <c r="C77" s="549"/>
      <c r="D77" s="549"/>
      <c r="E77" s="355"/>
      <c r="H77" s="340"/>
      <c r="I77" s="340"/>
    </row>
    <row r="78" spans="2:11" ht="13.5" customHeight="1" x14ac:dyDescent="0.2">
      <c r="B78" s="72"/>
      <c r="C78" s="98"/>
      <c r="D78" s="292"/>
      <c r="E78" s="356"/>
      <c r="H78" s="293"/>
      <c r="I78" s="293"/>
    </row>
    <row r="79" spans="2:11" ht="33" customHeight="1" x14ac:dyDescent="0.2">
      <c r="B79" s="109" t="s">
        <v>198</v>
      </c>
      <c r="C79" s="550">
        <f>C39+C56+C75+C77</f>
        <v>54079.54999999702</v>
      </c>
      <c r="D79" s="550">
        <f>D39+D56+D75+D77</f>
        <v>-10144471.929999948</v>
      </c>
      <c r="E79" s="357">
        <f>E39+E56+E75+E77</f>
        <v>-57726966.969999999</v>
      </c>
      <c r="H79" s="341" t="e">
        <f>H39+H56+H75+H77</f>
        <v>#REF!</v>
      </c>
      <c r="I79" s="341" t="e">
        <f>I39+I56+I75+I77</f>
        <v>#REF!</v>
      </c>
    </row>
    <row r="80" spans="2:11" ht="13.5" customHeight="1" x14ac:dyDescent="0.2">
      <c r="B80" s="96" t="s">
        <v>219</v>
      </c>
      <c r="C80" s="548">
        <v>121802734.36</v>
      </c>
      <c r="D80" s="548">
        <f>BAL!E58</f>
        <v>166400970.36000001</v>
      </c>
      <c r="E80" s="544">
        <f>BAL!G58</f>
        <v>156256498.43000007</v>
      </c>
      <c r="H80" s="308">
        <f>BAL!E58</f>
        <v>166400970.36000001</v>
      </c>
      <c r="I80" s="308">
        <f>+H80</f>
        <v>166400970.36000001</v>
      </c>
    </row>
    <row r="81" spans="2:11" ht="13.5" customHeight="1" thickBot="1" x14ac:dyDescent="0.25">
      <c r="B81" s="111" t="s">
        <v>220</v>
      </c>
      <c r="C81" s="551">
        <v>121856813.90999997</v>
      </c>
      <c r="D81" s="551">
        <f>BAL!G58</f>
        <v>156256498.43000007</v>
      </c>
      <c r="E81" s="358">
        <f>BAL!H58</f>
        <v>98529531.459999993</v>
      </c>
      <c r="H81" s="342" t="e">
        <f>BAL!#REF!</f>
        <v>#REF!</v>
      </c>
      <c r="I81" s="342" t="e">
        <f>BAL!#REF!</f>
        <v>#REF!</v>
      </c>
    </row>
    <row r="82" spans="2:11" ht="14.1" customHeight="1" x14ac:dyDescent="0.2">
      <c r="C82" s="106"/>
      <c r="D82" s="343"/>
      <c r="E82" s="343"/>
      <c r="H82" s="343"/>
      <c r="I82" s="343"/>
    </row>
    <row r="83" spans="2:11" s="75" customFormat="1" ht="14.1" customHeight="1" x14ac:dyDescent="0.2">
      <c r="C83" s="284"/>
      <c r="D83" s="284"/>
      <c r="E83" s="284"/>
      <c r="F83" s="144"/>
      <c r="G83" s="144"/>
      <c r="H83" s="284" t="e">
        <f>+H80-H81</f>
        <v>#REF!</v>
      </c>
      <c r="I83" s="284" t="e">
        <f>+I81-I80</f>
        <v>#REF!</v>
      </c>
      <c r="J83" s="284"/>
      <c r="K83" s="284"/>
    </row>
    <row r="84" spans="2:11" s="75" customFormat="1" ht="14.1" customHeight="1" x14ac:dyDescent="0.2">
      <c r="C84" s="284"/>
      <c r="D84" s="471"/>
      <c r="E84" s="284"/>
      <c r="F84" s="144"/>
      <c r="G84" s="144"/>
      <c r="H84" s="284"/>
      <c r="I84" s="284"/>
      <c r="J84" s="284"/>
      <c r="K84" s="284"/>
    </row>
    <row r="85" spans="2:11" s="75" customFormat="1" ht="14.1" customHeight="1" x14ac:dyDescent="0.2">
      <c r="C85" s="284"/>
      <c r="D85" s="284"/>
      <c r="E85" s="284"/>
      <c r="F85" s="144"/>
      <c r="G85" s="144"/>
      <c r="H85" s="284"/>
      <c r="I85" s="284"/>
    </row>
    <row r="86" spans="2:11" s="75" customFormat="1" ht="14.1" customHeight="1" x14ac:dyDescent="0.2">
      <c r="D86" s="284"/>
      <c r="E86" s="284"/>
      <c r="F86" s="144"/>
      <c r="G86" s="144"/>
      <c r="H86" s="284"/>
      <c r="I86" s="284"/>
    </row>
    <row r="87" spans="2:11" s="75" customFormat="1" ht="14.1" customHeight="1" x14ac:dyDescent="0.2">
      <c r="D87" s="284"/>
      <c r="E87" s="284"/>
      <c r="F87" s="144"/>
      <c r="G87" s="144"/>
      <c r="H87" s="284"/>
      <c r="I87" s="284"/>
    </row>
    <row r="88" spans="2:11" s="75" customFormat="1" ht="14.1" customHeight="1" x14ac:dyDescent="0.2">
      <c r="C88" s="369"/>
      <c r="D88" s="284"/>
      <c r="E88" s="284"/>
      <c r="F88" s="144"/>
      <c r="G88" s="144"/>
      <c r="H88" s="284"/>
      <c r="I88" s="284"/>
    </row>
    <row r="89" spans="2:11" s="75" customFormat="1" ht="13.5" customHeight="1" x14ac:dyDescent="0.2">
      <c r="D89" s="284"/>
      <c r="E89" s="284"/>
      <c r="F89" s="144"/>
      <c r="G89" s="144"/>
      <c r="H89" s="284"/>
      <c r="I89" s="284"/>
    </row>
    <row r="90" spans="2:11" s="75" customFormat="1" ht="14.1" customHeight="1" x14ac:dyDescent="0.2">
      <c r="D90" s="284"/>
      <c r="E90" s="284"/>
      <c r="F90" s="144"/>
      <c r="G90" s="144"/>
      <c r="H90" s="284"/>
      <c r="I90" s="284"/>
    </row>
    <row r="91" spans="2:11" s="75" customFormat="1" ht="14.1" customHeight="1" x14ac:dyDescent="0.2">
      <c r="D91" s="284"/>
      <c r="E91" s="284"/>
      <c r="F91" s="144"/>
      <c r="G91" s="144"/>
      <c r="H91" s="284"/>
      <c r="I91" s="284"/>
    </row>
    <row r="92" spans="2:11" s="75" customFormat="1" ht="14.1" customHeight="1" x14ac:dyDescent="0.2">
      <c r="D92" s="284"/>
      <c r="E92" s="284"/>
      <c r="F92" s="144"/>
      <c r="G92" s="144"/>
      <c r="H92" s="284"/>
      <c r="I92" s="284"/>
    </row>
    <row r="93" spans="2:11" s="75" customFormat="1" ht="14.1" customHeight="1" x14ac:dyDescent="0.2">
      <c r="D93" s="284"/>
      <c r="E93" s="284"/>
      <c r="F93" s="144"/>
      <c r="G93" s="144"/>
      <c r="H93" s="284"/>
      <c r="I93" s="284"/>
    </row>
    <row r="94" spans="2:11" s="75" customFormat="1" ht="14.1" customHeight="1" x14ac:dyDescent="0.2">
      <c r="D94" s="284"/>
      <c r="E94" s="284"/>
      <c r="F94" s="144"/>
      <c r="G94" s="144"/>
      <c r="H94" s="284"/>
      <c r="I94" s="284"/>
    </row>
    <row r="95" spans="2:11" s="75" customFormat="1" ht="14.1" customHeight="1" x14ac:dyDescent="0.2">
      <c r="D95" s="284"/>
      <c r="E95" s="284"/>
      <c r="F95" s="144"/>
      <c r="G95" s="144"/>
      <c r="H95" s="284"/>
      <c r="I95" s="284"/>
    </row>
    <row r="96" spans="2:11" s="75" customFormat="1" ht="14.1" customHeight="1" x14ac:dyDescent="0.2">
      <c r="D96" s="284"/>
      <c r="E96" s="284"/>
      <c r="F96" s="144"/>
      <c r="G96" s="144"/>
      <c r="H96" s="284"/>
      <c r="I96" s="284"/>
    </row>
    <row r="97" spans="4:9" s="75" customFormat="1" ht="14.1" customHeight="1" x14ac:dyDescent="0.2">
      <c r="D97" s="284"/>
      <c r="E97" s="284"/>
      <c r="F97" s="144"/>
      <c r="G97" s="144"/>
      <c r="H97" s="284"/>
      <c r="I97" s="284"/>
    </row>
    <row r="98" spans="4:9" s="75" customFormat="1" ht="14.1" customHeight="1" x14ac:dyDescent="0.2">
      <c r="D98" s="284"/>
      <c r="E98" s="284"/>
      <c r="F98" s="144"/>
      <c r="G98" s="144"/>
      <c r="H98" s="284"/>
      <c r="I98" s="284"/>
    </row>
    <row r="99" spans="4:9" ht="14.1" customHeight="1" x14ac:dyDescent="0.2">
      <c r="I99" s="140"/>
    </row>
    <row r="100" spans="4:9" ht="14.1" customHeight="1" x14ac:dyDescent="0.2">
      <c r="I100" s="140"/>
    </row>
    <row r="101" spans="4:9" ht="14.1" customHeight="1" x14ac:dyDescent="0.2">
      <c r="I101" s="140"/>
    </row>
    <row r="102" spans="4:9" ht="14.1" customHeight="1" x14ac:dyDescent="0.2">
      <c r="I102" s="140"/>
    </row>
    <row r="103" spans="4:9" ht="14.1" customHeight="1" x14ac:dyDescent="0.2">
      <c r="I103" s="140"/>
    </row>
    <row r="104" spans="4:9" ht="14.1" customHeight="1" x14ac:dyDescent="0.2">
      <c r="I104" s="140"/>
    </row>
    <row r="105" spans="4:9" ht="14.1" customHeight="1" x14ac:dyDescent="0.2">
      <c r="I105" s="140"/>
    </row>
    <row r="106" spans="4:9" ht="14.1" customHeight="1" x14ac:dyDescent="0.2">
      <c r="I106" s="140"/>
    </row>
    <row r="107" spans="4:9" ht="14.1" customHeight="1" x14ac:dyDescent="0.2">
      <c r="I107" s="140"/>
    </row>
    <row r="108" spans="4:9" ht="14.1" customHeight="1" x14ac:dyDescent="0.2">
      <c r="I108" s="140"/>
    </row>
    <row r="109" spans="4:9" ht="14.1" customHeight="1" x14ac:dyDescent="0.2">
      <c r="I109" s="140"/>
    </row>
    <row r="110" spans="4:9" ht="14.1" customHeight="1" x14ac:dyDescent="0.2">
      <c r="I110" s="140"/>
    </row>
    <row r="111" spans="4:9" ht="14.1" customHeight="1" x14ac:dyDescent="0.2">
      <c r="I111" s="140"/>
    </row>
    <row r="112" spans="4:9" ht="14.1" customHeight="1" x14ac:dyDescent="0.2">
      <c r="I112" s="140"/>
    </row>
    <row r="113" spans="9:9" ht="14.1" customHeight="1" x14ac:dyDescent="0.2">
      <c r="I113" s="140"/>
    </row>
    <row r="114" spans="9:9" ht="14.1" customHeight="1" x14ac:dyDescent="0.2">
      <c r="I114" s="140"/>
    </row>
    <row r="115" spans="9:9" ht="14.1" customHeight="1" x14ac:dyDescent="0.2">
      <c r="I115" s="140"/>
    </row>
    <row r="116" spans="9:9" ht="14.1" customHeight="1" x14ac:dyDescent="0.2">
      <c r="I116" s="140"/>
    </row>
    <row r="117" spans="9:9" ht="14.1" customHeight="1" x14ac:dyDescent="0.2">
      <c r="I117" s="140"/>
    </row>
    <row r="118" spans="9:9" ht="14.1" customHeight="1" x14ac:dyDescent="0.2">
      <c r="I118" s="140"/>
    </row>
    <row r="119" spans="9:9" ht="14.1" customHeight="1" x14ac:dyDescent="0.2">
      <c r="I119" s="140"/>
    </row>
    <row r="120" spans="9:9" ht="14.1" customHeight="1" x14ac:dyDescent="0.2">
      <c r="I120" s="140"/>
    </row>
    <row r="121" spans="9:9" ht="14.1" customHeight="1" x14ac:dyDescent="0.2">
      <c r="I121" s="140"/>
    </row>
    <row r="122" spans="9:9" ht="14.1" customHeight="1" x14ac:dyDescent="0.2">
      <c r="I122" s="140"/>
    </row>
    <row r="123" spans="9:9" ht="14.1" customHeight="1" x14ac:dyDescent="0.2">
      <c r="I123" s="140"/>
    </row>
    <row r="124" spans="9:9" ht="14.1" customHeight="1" x14ac:dyDescent="0.2">
      <c r="I124" s="140"/>
    </row>
    <row r="125" spans="9:9" ht="14.1" customHeight="1" x14ac:dyDescent="0.2">
      <c r="I125" s="140"/>
    </row>
    <row r="126" spans="9:9" ht="14.1" customHeight="1" x14ac:dyDescent="0.2">
      <c r="I126" s="140"/>
    </row>
    <row r="127" spans="9:9" ht="14.1" customHeight="1" x14ac:dyDescent="0.2">
      <c r="I127" s="140"/>
    </row>
    <row r="128" spans="9:9" ht="14.1" customHeight="1" x14ac:dyDescent="0.2">
      <c r="I128" s="140"/>
    </row>
    <row r="129" spans="9:9" ht="14.1" customHeight="1" x14ac:dyDescent="0.2">
      <c r="I129" s="140"/>
    </row>
    <row r="130" spans="9:9" ht="14.1" customHeight="1" x14ac:dyDescent="0.2">
      <c r="I130" s="140"/>
    </row>
    <row r="131" spans="9:9" ht="14.1" customHeight="1" x14ac:dyDescent="0.2">
      <c r="I131" s="140"/>
    </row>
    <row r="132" spans="9:9" ht="14.1" customHeight="1" x14ac:dyDescent="0.2">
      <c r="I132" s="140"/>
    </row>
    <row r="133" spans="9:9" ht="14.1" customHeight="1" x14ac:dyDescent="0.2">
      <c r="I133" s="140"/>
    </row>
    <row r="134" spans="9:9" ht="14.1" customHeight="1" x14ac:dyDescent="0.2">
      <c r="I134" s="140"/>
    </row>
    <row r="135" spans="9:9" ht="14.1" customHeight="1" x14ac:dyDescent="0.2">
      <c r="I135" s="140"/>
    </row>
    <row r="136" spans="9:9" ht="14.1" customHeight="1" x14ac:dyDescent="0.2">
      <c r="I136" s="140"/>
    </row>
    <row r="137" spans="9:9" ht="14.1" customHeight="1" x14ac:dyDescent="0.2">
      <c r="I137" s="140"/>
    </row>
    <row r="138" spans="9:9" ht="14.1" customHeight="1" x14ac:dyDescent="0.2">
      <c r="I138" s="140"/>
    </row>
    <row r="139" spans="9:9" ht="14.1" customHeight="1" x14ac:dyDescent="0.2">
      <c r="I139" s="140"/>
    </row>
    <row r="140" spans="9:9" ht="14.1" customHeight="1" x14ac:dyDescent="0.2">
      <c r="I140" s="140"/>
    </row>
    <row r="141" spans="9:9" ht="14.1" customHeight="1" x14ac:dyDescent="0.2">
      <c r="I141" s="140"/>
    </row>
    <row r="142" spans="9:9" ht="14.1" customHeight="1" x14ac:dyDescent="0.2">
      <c r="I142" s="140"/>
    </row>
    <row r="143" spans="9:9" ht="14.1" customHeight="1" x14ac:dyDescent="0.2">
      <c r="I143" s="140"/>
    </row>
    <row r="144" spans="9:9" ht="14.1" customHeight="1" x14ac:dyDescent="0.2">
      <c r="I144" s="140"/>
    </row>
    <row r="145" spans="9:9" ht="14.1" customHeight="1" x14ac:dyDescent="0.2">
      <c r="I145" s="140"/>
    </row>
    <row r="146" spans="9:9" ht="14.1" customHeight="1" x14ac:dyDescent="0.2">
      <c r="I146" s="140"/>
    </row>
    <row r="147" spans="9:9" ht="14.1" customHeight="1" x14ac:dyDescent="0.2">
      <c r="I147" s="140"/>
    </row>
    <row r="148" spans="9:9" ht="14.1" customHeight="1" x14ac:dyDescent="0.2">
      <c r="I148" s="140"/>
    </row>
    <row r="149" spans="9:9" ht="14.1" customHeight="1" x14ac:dyDescent="0.2">
      <c r="I149" s="140"/>
    </row>
    <row r="150" spans="9:9" ht="14.1" customHeight="1" x14ac:dyDescent="0.2">
      <c r="I150" s="140"/>
    </row>
    <row r="151" spans="9:9" ht="14.1" customHeight="1" x14ac:dyDescent="0.2">
      <c r="I151" s="140"/>
    </row>
    <row r="152" spans="9:9" ht="14.1" customHeight="1" x14ac:dyDescent="0.2">
      <c r="I152" s="140"/>
    </row>
    <row r="153" spans="9:9" ht="14.1" customHeight="1" x14ac:dyDescent="0.2">
      <c r="I153" s="140"/>
    </row>
    <row r="154" spans="9:9" ht="14.1" customHeight="1" x14ac:dyDescent="0.2">
      <c r="I154" s="140"/>
    </row>
    <row r="155" spans="9:9" ht="14.1" customHeight="1" x14ac:dyDescent="0.2">
      <c r="I155" s="140"/>
    </row>
    <row r="156" spans="9:9" ht="14.1" customHeight="1" x14ac:dyDescent="0.2">
      <c r="I156" s="140"/>
    </row>
    <row r="157" spans="9:9" ht="14.1" customHeight="1" x14ac:dyDescent="0.2">
      <c r="I157" s="140"/>
    </row>
    <row r="158" spans="9:9" ht="14.1" customHeight="1" x14ac:dyDescent="0.2">
      <c r="I158" s="140"/>
    </row>
    <row r="159" spans="9:9" ht="14.1" customHeight="1" x14ac:dyDescent="0.2">
      <c r="I159" s="140"/>
    </row>
    <row r="160" spans="9:9" ht="14.1" customHeight="1" x14ac:dyDescent="0.2">
      <c r="I160" s="140"/>
    </row>
    <row r="161" spans="9:9" ht="14.1" customHeight="1" x14ac:dyDescent="0.2">
      <c r="I161" s="140"/>
    </row>
    <row r="162" spans="9:9" ht="14.1" customHeight="1" x14ac:dyDescent="0.2">
      <c r="I162" s="140"/>
    </row>
    <row r="163" spans="9:9" ht="14.1" customHeight="1" x14ac:dyDescent="0.2">
      <c r="I163" s="140"/>
    </row>
    <row r="164" spans="9:9" ht="14.1" customHeight="1" x14ac:dyDescent="0.2">
      <c r="I164" s="140"/>
    </row>
    <row r="165" spans="9:9" ht="14.1" customHeight="1" x14ac:dyDescent="0.2">
      <c r="I165" s="140"/>
    </row>
    <row r="166" spans="9:9" ht="14.1" customHeight="1" x14ac:dyDescent="0.2">
      <c r="I166" s="140"/>
    </row>
    <row r="167" spans="9:9" ht="14.1" customHeight="1" x14ac:dyDescent="0.2">
      <c r="I167" s="140"/>
    </row>
    <row r="168" spans="9:9" ht="14.1" customHeight="1" x14ac:dyDescent="0.2">
      <c r="I168" s="140"/>
    </row>
    <row r="169" spans="9:9" ht="14.1" customHeight="1" x14ac:dyDescent="0.2">
      <c r="I169" s="140"/>
    </row>
    <row r="170" spans="9:9" ht="14.1" customHeight="1" x14ac:dyDescent="0.2">
      <c r="I170" s="140"/>
    </row>
    <row r="171" spans="9:9" ht="14.1" customHeight="1" x14ac:dyDescent="0.2">
      <c r="I171" s="140"/>
    </row>
    <row r="172" spans="9:9" ht="14.1" customHeight="1" x14ac:dyDescent="0.2">
      <c r="I172" s="140"/>
    </row>
    <row r="173" spans="9:9" ht="14.1" customHeight="1" x14ac:dyDescent="0.2">
      <c r="I173" s="140"/>
    </row>
    <row r="174" spans="9:9" ht="14.1" customHeight="1" x14ac:dyDescent="0.2">
      <c r="I174" s="140"/>
    </row>
    <row r="175" spans="9:9" ht="14.1" customHeight="1" x14ac:dyDescent="0.2">
      <c r="I175" s="140"/>
    </row>
    <row r="176" spans="9:9" ht="14.1" customHeight="1" x14ac:dyDescent="0.2">
      <c r="I176" s="140"/>
    </row>
    <row r="177" spans="9:9" ht="14.1" customHeight="1" x14ac:dyDescent="0.2">
      <c r="I177" s="140"/>
    </row>
    <row r="178" spans="9:9" ht="14.1" customHeight="1" x14ac:dyDescent="0.2">
      <c r="I178" s="140"/>
    </row>
    <row r="179" spans="9:9" ht="14.1" customHeight="1" x14ac:dyDescent="0.2">
      <c r="I179" s="140"/>
    </row>
    <row r="180" spans="9:9" ht="14.1" customHeight="1" x14ac:dyDescent="0.2">
      <c r="I180" s="140"/>
    </row>
    <row r="181" spans="9:9" ht="14.1" customHeight="1" x14ac:dyDescent="0.2">
      <c r="I181" s="140"/>
    </row>
    <row r="182" spans="9:9" ht="14.1" customHeight="1" x14ac:dyDescent="0.2">
      <c r="I182" s="140"/>
    </row>
    <row r="183" spans="9:9" ht="14.1" customHeight="1" x14ac:dyDescent="0.2">
      <c r="I183" s="140"/>
    </row>
    <row r="184" spans="9:9" ht="14.1" customHeight="1" x14ac:dyDescent="0.2">
      <c r="I184" s="140"/>
    </row>
    <row r="185" spans="9:9" ht="14.1" customHeight="1" x14ac:dyDescent="0.2">
      <c r="I185" s="140"/>
    </row>
    <row r="186" spans="9:9" ht="14.1" customHeight="1" x14ac:dyDescent="0.2">
      <c r="I186" s="140"/>
    </row>
    <row r="187" spans="9:9" ht="14.1" customHeight="1" x14ac:dyDescent="0.2">
      <c r="I187" s="140"/>
    </row>
    <row r="188" spans="9:9" ht="14.1" customHeight="1" x14ac:dyDescent="0.2">
      <c r="I188" s="140"/>
    </row>
    <row r="189" spans="9:9" ht="14.1" customHeight="1" x14ac:dyDescent="0.2">
      <c r="I189" s="140"/>
    </row>
    <row r="190" spans="9:9" ht="14.1" customHeight="1" x14ac:dyDescent="0.2">
      <c r="I190" s="140"/>
    </row>
    <row r="191" spans="9:9" ht="14.1" customHeight="1" x14ac:dyDescent="0.2">
      <c r="I191" s="140"/>
    </row>
    <row r="192" spans="9:9" ht="14.1" customHeight="1" x14ac:dyDescent="0.2">
      <c r="I192" s="140"/>
    </row>
    <row r="193" spans="9:9" ht="14.1" customHeight="1" x14ac:dyDescent="0.2">
      <c r="I193" s="140"/>
    </row>
    <row r="194" spans="9:9" ht="14.1" customHeight="1" x14ac:dyDescent="0.2">
      <c r="I194" s="140"/>
    </row>
    <row r="195" spans="9:9" ht="14.1" customHeight="1" x14ac:dyDescent="0.2">
      <c r="I195" s="140"/>
    </row>
    <row r="196" spans="9:9" ht="14.1" customHeight="1" x14ac:dyDescent="0.2">
      <c r="I196" s="140"/>
    </row>
    <row r="197" spans="9:9" ht="14.1" customHeight="1" x14ac:dyDescent="0.2">
      <c r="I197" s="140"/>
    </row>
    <row r="198" spans="9:9" ht="14.1" customHeight="1" x14ac:dyDescent="0.2">
      <c r="I198" s="140"/>
    </row>
    <row r="199" spans="9:9" ht="14.1" customHeight="1" x14ac:dyDescent="0.2">
      <c r="I199" s="140"/>
    </row>
    <row r="200" spans="9:9" ht="14.1" customHeight="1" x14ac:dyDescent="0.2"/>
    <row r="201" spans="9:9" ht="14.1" customHeight="1" x14ac:dyDescent="0.2"/>
    <row r="202" spans="9:9" ht="14.1" customHeight="1" x14ac:dyDescent="0.2"/>
    <row r="203" spans="9:9" ht="14.1" customHeight="1" x14ac:dyDescent="0.2"/>
    <row r="204" spans="9:9" ht="14.1" customHeight="1" x14ac:dyDescent="0.2"/>
    <row r="205" spans="9:9" ht="14.1" customHeight="1" x14ac:dyDescent="0.2"/>
    <row r="206" spans="9:9" ht="14.1" customHeight="1" x14ac:dyDescent="0.2"/>
    <row r="207" spans="9:9" ht="14.1" customHeight="1" x14ac:dyDescent="0.2"/>
    <row r="208" spans="9:9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</sheetData>
  <mergeCells count="7">
    <mergeCell ref="G41:G42"/>
    <mergeCell ref="G58:G59"/>
    <mergeCell ref="B3:D3"/>
    <mergeCell ref="F16:F17"/>
    <mergeCell ref="G16:G17"/>
    <mergeCell ref="G14:G15"/>
    <mergeCell ref="G24:G25"/>
  </mergeCells>
  <phoneticPr fontId="0" type="noConversion"/>
  <conditionalFormatting sqref="F62">
    <cfRule type="cellIs" dxfId="63" priority="76" stopIfTrue="1" operator="notEqual">
      <formula>#REF!</formula>
    </cfRule>
  </conditionalFormatting>
  <conditionalFormatting sqref="G62">
    <cfRule type="cellIs" dxfId="62" priority="77" stopIfTrue="1" operator="notEqual">
      <formula>$D$62</formula>
    </cfRule>
  </conditionalFormatting>
  <conditionalFormatting sqref="F60">
    <cfRule type="cellIs" dxfId="61" priority="78" stopIfTrue="1" operator="notEqual">
      <formula>#REF!</formula>
    </cfRule>
  </conditionalFormatting>
  <conditionalFormatting sqref="G60">
    <cfRule type="cellIs" dxfId="60" priority="79" stopIfTrue="1" operator="notEqual">
      <formula>$D$60</formula>
    </cfRule>
  </conditionalFormatting>
  <conditionalFormatting sqref="F61">
    <cfRule type="cellIs" dxfId="59" priority="80" stopIfTrue="1" operator="notEqual">
      <formula>#REF!</formula>
    </cfRule>
  </conditionalFormatting>
  <conditionalFormatting sqref="G61">
    <cfRule type="cellIs" dxfId="58" priority="81" stopIfTrue="1" operator="notEqual">
      <formula>$D$61</formula>
    </cfRule>
  </conditionalFormatting>
  <conditionalFormatting sqref="F16:F17">
    <cfRule type="cellIs" dxfId="57" priority="82" stopIfTrue="1" operator="notEqual">
      <formula>#REF!+#REF!</formula>
    </cfRule>
  </conditionalFormatting>
  <conditionalFormatting sqref="G16:G17">
    <cfRule type="cellIs" dxfId="56" priority="83" stopIfTrue="1" operator="notEqual">
      <formula>$D$16+$D$17</formula>
    </cfRule>
  </conditionalFormatting>
  <conditionalFormatting sqref="C73:E74 C69:E71 C43:E48">
    <cfRule type="cellIs" dxfId="55" priority="84" stopIfTrue="1" operator="greaterThan">
      <formula>0</formula>
    </cfRule>
  </conditionalFormatting>
  <conditionalFormatting sqref="C54:C55 C50:C52 C65:E67">
    <cfRule type="cellIs" dxfId="54" priority="85" stopIfTrue="1" operator="lessThan">
      <formula>0</formula>
    </cfRule>
  </conditionalFormatting>
  <conditionalFormatting sqref="D79:E79">
    <cfRule type="cellIs" dxfId="53" priority="87" stopIfTrue="1" operator="notEqual">
      <formula>$D$81-$D$80</formula>
    </cfRule>
  </conditionalFormatting>
  <conditionalFormatting sqref="C34:E34">
    <cfRule type="cellIs" dxfId="52" priority="71" stopIfTrue="1" operator="greaterThan">
      <formula>0</formula>
    </cfRule>
  </conditionalFormatting>
  <conditionalFormatting sqref="C35:E35">
    <cfRule type="cellIs" dxfId="51" priority="72" stopIfTrue="1" operator="lessThan">
      <formula>0</formula>
    </cfRule>
  </conditionalFormatting>
  <conditionalFormatting sqref="C61:E61">
    <cfRule type="cellIs" dxfId="50" priority="69" stopIfTrue="1" operator="greaterThan">
      <formula>0</formula>
    </cfRule>
  </conditionalFormatting>
  <conditionalFormatting sqref="C60:E60 C62:E62">
    <cfRule type="cellIs" dxfId="49" priority="70" stopIfTrue="1" operator="lessThan">
      <formula>0</formula>
    </cfRule>
  </conditionalFormatting>
  <conditionalFormatting sqref="H61 H34 H73:H74 H69:H71 H43:H48">
    <cfRule type="cellIs" dxfId="48" priority="58" stopIfTrue="1" operator="greaterThan">
      <formula>0</formula>
    </cfRule>
  </conditionalFormatting>
  <conditionalFormatting sqref="H60 H35 H65:H67 H50:H55">
    <cfRule type="cellIs" dxfId="47" priority="59" stopIfTrue="1" operator="lessThan">
      <formula>0</formula>
    </cfRule>
  </conditionalFormatting>
  <conditionalFormatting sqref="H79">
    <cfRule type="cellIs" dxfId="46" priority="60" stopIfTrue="1" operator="notEqual">
      <formula>$D$81-$D$80</formula>
    </cfRule>
  </conditionalFormatting>
  <conditionalFormatting sqref="H62">
    <cfRule type="cellIs" dxfId="45" priority="57" stopIfTrue="1" operator="lessThan">
      <formula>0</formula>
    </cfRule>
  </conditionalFormatting>
  <conditionalFormatting sqref="H36">
    <cfRule type="cellIs" dxfId="44" priority="56" stopIfTrue="1" operator="lessThan">
      <formula>0</formula>
    </cfRule>
  </conditionalFormatting>
  <conditionalFormatting sqref="I61 I34 I73:I74 I69:I71 I43:I48">
    <cfRule type="cellIs" dxfId="43" priority="53" stopIfTrue="1" operator="greaterThan">
      <formula>0</formula>
    </cfRule>
  </conditionalFormatting>
  <conditionalFormatting sqref="I60 I35 I65:I67 I50:I55">
    <cfRule type="cellIs" dxfId="42" priority="54" stopIfTrue="1" operator="lessThan">
      <formula>0</formula>
    </cfRule>
  </conditionalFormatting>
  <conditionalFormatting sqref="I79">
    <cfRule type="cellIs" dxfId="41" priority="55" stopIfTrue="1" operator="notEqual">
      <formula>$D$81-$D$80</formula>
    </cfRule>
  </conditionalFormatting>
  <conditionalFormatting sqref="I62">
    <cfRule type="cellIs" dxfId="40" priority="52" stopIfTrue="1" operator="lessThan">
      <formula>0</formula>
    </cfRule>
  </conditionalFormatting>
  <conditionalFormatting sqref="I36">
    <cfRule type="cellIs" dxfId="39" priority="51" stopIfTrue="1" operator="lessThan">
      <formula>0</formula>
    </cfRule>
  </conditionalFormatting>
  <conditionalFormatting sqref="C53:E53">
    <cfRule type="cellIs" dxfId="38" priority="41" stopIfTrue="1" operator="lessThan">
      <formula>0</formula>
    </cfRule>
  </conditionalFormatting>
  <conditionalFormatting sqref="C36:E36">
    <cfRule type="cellIs" dxfId="37" priority="15" stopIfTrue="1" operator="lessThan">
      <formula>0</formula>
    </cfRule>
  </conditionalFormatting>
  <conditionalFormatting sqref="F26:G32 F43:G46 F50:G54">
    <cfRule type="cellIs" dxfId="36" priority="142" stopIfTrue="1" operator="notEqual">
      <formula>#REF!</formula>
    </cfRule>
  </conditionalFormatting>
  <conditionalFormatting sqref="C79">
    <cfRule type="cellIs" dxfId="35" priority="153" stopIfTrue="1" operator="notEqual">
      <formula>#REF!-#REF!</formula>
    </cfRule>
  </conditionalFormatting>
  <conditionalFormatting sqref="D54:D55 D50:D52">
    <cfRule type="cellIs" dxfId="34" priority="2" stopIfTrue="1" operator="lessThan">
      <formula>0</formula>
    </cfRule>
  </conditionalFormatting>
  <conditionalFormatting sqref="E54:E55 E50:E52">
    <cfRule type="cellIs" dxfId="33" priority="1" stopIfTrue="1" operator="lessThan">
      <formula>0</formula>
    </cfRule>
  </conditionalFormatting>
  <printOptions horizontalCentered="1" verticalCentered="1"/>
  <pageMargins left="0.74803149606299213" right="0.70866141732283472" top="0.55118110236220474" bottom="0.98425196850393704" header="0" footer="0.39370078740157483"/>
  <pageSetup paperSize="8" scale="91" orientation="portrait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3:O80"/>
  <sheetViews>
    <sheetView showZeros="0" zoomScale="80" zoomScaleNormal="80" workbookViewId="0">
      <selection activeCell="M23" sqref="M23"/>
    </sheetView>
  </sheetViews>
  <sheetFormatPr baseColWidth="10" defaultRowHeight="12.75" x14ac:dyDescent="0.2"/>
  <cols>
    <col min="1" max="1" width="5.42578125" style="117" customWidth="1"/>
    <col min="2" max="2" width="55.28515625" style="117" customWidth="1"/>
    <col min="3" max="5" width="20.7109375" style="117" customWidth="1"/>
    <col min="6" max="6" width="55.28515625" style="117" customWidth="1"/>
    <col min="7" max="9" width="20.7109375" style="117" customWidth="1"/>
    <col min="10" max="10" width="15" style="117" customWidth="1"/>
    <col min="11" max="11" width="14.85546875" style="117" customWidth="1"/>
    <col min="12" max="12" width="14.5703125" style="117" bestFit="1" customWidth="1"/>
    <col min="13" max="16384" width="11.42578125" style="117"/>
  </cols>
  <sheetData>
    <row r="3" spans="1:9" ht="18" customHeight="1" x14ac:dyDescent="0.25">
      <c r="B3" s="118">
        <f>PyG!B4</f>
        <v>0</v>
      </c>
      <c r="H3" s="120"/>
      <c r="I3" s="120"/>
    </row>
    <row r="4" spans="1:9" ht="18" customHeight="1" x14ac:dyDescent="0.25">
      <c r="B4" s="119">
        <f>PyG!B5</f>
        <v>0</v>
      </c>
      <c r="C4" s="118"/>
      <c r="D4" s="120"/>
      <c r="E4" s="120"/>
      <c r="F4" s="120"/>
      <c r="G4" s="120"/>
      <c r="H4" s="120"/>
      <c r="I4" s="120"/>
    </row>
    <row r="5" spans="1:9" ht="18" customHeight="1" x14ac:dyDescent="0.25">
      <c r="B5" s="119">
        <f>PyG!B6</f>
        <v>0</v>
      </c>
      <c r="C5" s="320"/>
      <c r="D5" s="120"/>
      <c r="E5" s="120"/>
      <c r="G5" s="366"/>
      <c r="H5" s="120"/>
      <c r="I5" s="120"/>
    </row>
    <row r="6" spans="1:9" ht="18" customHeight="1" x14ac:dyDescent="0.25">
      <c r="B6" s="119" t="str">
        <f>BAL!D5</f>
        <v>SOCIEDAD: EMPRESA MUNICIPAL DE LA VIVIENDA Y SUELO DE MADRID S.A.</v>
      </c>
      <c r="C6" s="118"/>
      <c r="D6" s="120"/>
      <c r="E6" s="120"/>
      <c r="F6" s="120"/>
      <c r="G6" s="120"/>
      <c r="H6" s="120"/>
      <c r="I6" s="120"/>
    </row>
    <row r="7" spans="1:9" ht="6" customHeight="1" thickBot="1" x14ac:dyDescent="0.3">
      <c r="B7" s="118"/>
      <c r="D7" s="118"/>
      <c r="E7" s="118"/>
      <c r="F7" s="120"/>
      <c r="G7" s="120"/>
      <c r="H7" s="120"/>
      <c r="I7" s="120"/>
    </row>
    <row r="8" spans="1:9" ht="15.75" x14ac:dyDescent="0.25">
      <c r="B8" s="613" t="s">
        <v>246</v>
      </c>
      <c r="C8" s="121" t="s">
        <v>4</v>
      </c>
      <c r="D8" s="387" t="str">
        <f>+BAL!G7</f>
        <v>PREVISIÓN CIERRE</v>
      </c>
      <c r="E8" s="479" t="str">
        <f>C8</f>
        <v>PRESUPUESTO</v>
      </c>
      <c r="F8" s="631" t="s">
        <v>247</v>
      </c>
      <c r="G8" s="553" t="s">
        <v>4</v>
      </c>
      <c r="H8" s="479" t="str">
        <f>+BAL!G7</f>
        <v>PREVISIÓN CIERRE</v>
      </c>
      <c r="I8" s="64" t="str">
        <f>G8</f>
        <v>PRESUPUESTO</v>
      </c>
    </row>
    <row r="9" spans="1:9" ht="16.5" thickBot="1" x14ac:dyDescent="0.25">
      <c r="B9" s="608"/>
      <c r="C9" s="209" t="str">
        <f>PyG!D10</f>
        <v>2022-2023</v>
      </c>
      <c r="D9" s="577">
        <f>+BAL!G8</f>
        <v>45291</v>
      </c>
      <c r="E9" s="237">
        <v>45657</v>
      </c>
      <c r="F9" s="632"/>
      <c r="G9" s="554" t="str">
        <f>C9</f>
        <v>2022-2023</v>
      </c>
      <c r="H9" s="237">
        <f>+BAL!L8</f>
        <v>45291</v>
      </c>
      <c r="I9" s="531">
        <f>E9</f>
        <v>45657</v>
      </c>
    </row>
    <row r="10" spans="1:9" ht="11.25" customHeight="1" thickTop="1" x14ac:dyDescent="0.3">
      <c r="B10" s="122"/>
      <c r="C10" s="135"/>
      <c r="D10" s="151"/>
      <c r="E10" s="135"/>
      <c r="F10" s="123"/>
      <c r="G10" s="151"/>
      <c r="H10" s="576"/>
      <c r="I10" s="565"/>
    </row>
    <row r="11" spans="1:9" ht="15.95" customHeight="1" x14ac:dyDescent="0.25">
      <c r="B11" s="124" t="s">
        <v>267</v>
      </c>
      <c r="C11" s="309">
        <f>C12+C17+C23+C26</f>
        <v>101015106.73999999</v>
      </c>
      <c r="D11" s="555">
        <f>D12+D17+D23+D26</f>
        <v>137085980.19999999</v>
      </c>
      <c r="E11" s="309">
        <f>E12+E17+E23+E26</f>
        <v>141010762.00999999</v>
      </c>
      <c r="F11" s="329" t="s">
        <v>248</v>
      </c>
      <c r="G11" s="555">
        <f>SUM(G12:G23)</f>
        <v>15676119.419999994</v>
      </c>
      <c r="H11" s="309">
        <f>SUM(H12:H23)</f>
        <v>25317263.269999996</v>
      </c>
      <c r="I11" s="566">
        <f>SUM(I12:I23)</f>
        <v>19745044.519999996</v>
      </c>
    </row>
    <row r="12" spans="1:9" ht="12.95" customHeight="1" x14ac:dyDescent="0.2">
      <c r="B12" s="125" t="s">
        <v>268</v>
      </c>
      <c r="C12" s="310">
        <f>SUM(C13:C16)</f>
        <v>210000</v>
      </c>
      <c r="D12" s="556">
        <f>SUM(D13:D16)</f>
        <v>250000</v>
      </c>
      <c r="E12" s="310">
        <f>SUM(E13:E16)</f>
        <v>154000</v>
      </c>
      <c r="F12" s="330" t="s">
        <v>249</v>
      </c>
      <c r="G12" s="556">
        <f>PyG!D86</f>
        <v>4091587.3599999947</v>
      </c>
      <c r="H12" s="310">
        <f>PyG!E86</f>
        <v>18750518.739999995</v>
      </c>
      <c r="I12" s="567">
        <f>PyG!F86</f>
        <v>15447737.199999996</v>
      </c>
    </row>
    <row r="13" spans="1:9" ht="15.95" customHeight="1" x14ac:dyDescent="0.2">
      <c r="B13" s="127" t="s">
        <v>269</v>
      </c>
      <c r="C13" s="311"/>
      <c r="D13" s="559"/>
      <c r="E13" s="311"/>
      <c r="F13" s="330" t="s">
        <v>289</v>
      </c>
      <c r="G13" s="556">
        <f>EFE!C15</f>
        <v>16002411.540000001</v>
      </c>
      <c r="H13" s="310">
        <f>EFE!D15</f>
        <v>14929000</v>
      </c>
      <c r="I13" s="567">
        <f>EFE!E15</f>
        <v>18004000</v>
      </c>
    </row>
    <row r="14" spans="1:9" ht="12.95" customHeight="1" x14ac:dyDescent="0.2">
      <c r="B14" s="125" t="s">
        <v>270</v>
      </c>
      <c r="C14" s="311"/>
      <c r="D14" s="559"/>
      <c r="E14" s="311"/>
      <c r="F14" s="330" t="s">
        <v>290</v>
      </c>
      <c r="G14" s="556">
        <f>EFE!C16</f>
        <v>1615000</v>
      </c>
      <c r="H14" s="310">
        <f>EFE!D16</f>
        <v>1100000</v>
      </c>
      <c r="I14" s="567">
        <f>EFE!E16</f>
        <v>-2077054.9100000001</v>
      </c>
    </row>
    <row r="15" spans="1:9" ht="12.95" customHeight="1" x14ac:dyDescent="0.2">
      <c r="A15" s="126"/>
      <c r="B15" s="125" t="s">
        <v>271</v>
      </c>
      <c r="C15" s="311">
        <v>210000</v>
      </c>
      <c r="D15" s="559">
        <v>250000</v>
      </c>
      <c r="E15" s="311">
        <v>154000</v>
      </c>
      <c r="F15" s="331" t="s">
        <v>291</v>
      </c>
      <c r="G15" s="556">
        <f>EFE!C17</f>
        <v>1755399.7200000002</v>
      </c>
      <c r="H15" s="310">
        <f>EFE!D17</f>
        <v>-237250.59999999998</v>
      </c>
      <c r="I15" s="567">
        <f>EFE!E17</f>
        <v>10000</v>
      </c>
    </row>
    <row r="16" spans="1:9" ht="12.95" customHeight="1" x14ac:dyDescent="0.2">
      <c r="A16" s="126"/>
      <c r="B16" s="125" t="s">
        <v>272</v>
      </c>
      <c r="C16" s="311"/>
      <c r="D16" s="559"/>
      <c r="E16" s="311"/>
      <c r="F16" s="330" t="s">
        <v>292</v>
      </c>
      <c r="G16" s="556">
        <f>EFE!C18</f>
        <v>-10000000</v>
      </c>
      <c r="H16" s="310">
        <f>EFE!D18</f>
        <v>-12000000</v>
      </c>
      <c r="I16" s="567">
        <f>EFE!E18</f>
        <v>-12400000</v>
      </c>
    </row>
    <row r="17" spans="1:14" ht="12.95" customHeight="1" x14ac:dyDescent="0.2">
      <c r="A17" s="126"/>
      <c r="B17" s="127" t="s">
        <v>273</v>
      </c>
      <c r="C17" s="310">
        <f>SUM(C18:C22)</f>
        <v>370000</v>
      </c>
      <c r="D17" s="556">
        <f>SUM(D18:D22)</f>
        <v>390000</v>
      </c>
      <c r="E17" s="310">
        <f>SUM(E18:E22)</f>
        <v>270000</v>
      </c>
      <c r="F17" s="331" t="s">
        <v>293</v>
      </c>
      <c r="G17" s="556">
        <f>EFE!C19</f>
        <v>100000</v>
      </c>
      <c r="H17" s="310">
        <f>EFE!D19</f>
        <v>0</v>
      </c>
      <c r="I17" s="567">
        <f>EFE!E19</f>
        <v>0</v>
      </c>
    </row>
    <row r="18" spans="1:14" ht="12.95" customHeight="1" x14ac:dyDescent="0.2">
      <c r="A18" s="126"/>
      <c r="B18" s="125" t="s">
        <v>250</v>
      </c>
      <c r="C18" s="311"/>
      <c r="D18" s="559"/>
      <c r="E18" s="311"/>
      <c r="F18" s="331" t="s">
        <v>294</v>
      </c>
      <c r="G18" s="556">
        <v>0</v>
      </c>
      <c r="H18" s="310">
        <f>EFE!D20</f>
        <v>0</v>
      </c>
      <c r="I18" s="567">
        <f>EFE!F20</f>
        <v>0</v>
      </c>
    </row>
    <row r="19" spans="1:14" ht="12.95" customHeight="1" x14ac:dyDescent="0.2">
      <c r="B19" s="125" t="s">
        <v>251</v>
      </c>
      <c r="C19" s="311"/>
      <c r="D19" s="559"/>
      <c r="E19" s="311"/>
      <c r="F19" s="331" t="s">
        <v>295</v>
      </c>
      <c r="G19" s="556">
        <v>0</v>
      </c>
      <c r="H19" s="310">
        <f>EFE!D23</f>
        <v>0</v>
      </c>
      <c r="I19" s="567">
        <f>EFE!F23</f>
        <v>0</v>
      </c>
    </row>
    <row r="20" spans="1:14" ht="15.95" customHeight="1" x14ac:dyDescent="0.2">
      <c r="A20" s="126"/>
      <c r="B20" s="125" t="s">
        <v>252</v>
      </c>
      <c r="C20" s="311">
        <v>370000</v>
      </c>
      <c r="D20" s="559">
        <v>390000</v>
      </c>
      <c r="E20" s="311">
        <v>270000</v>
      </c>
      <c r="F20" s="331" t="s">
        <v>296</v>
      </c>
      <c r="G20" s="556">
        <v>0</v>
      </c>
      <c r="H20" s="310">
        <f>EFE!D24</f>
        <v>0</v>
      </c>
      <c r="I20" s="567">
        <f>EFE!E24</f>
        <v>0</v>
      </c>
    </row>
    <row r="21" spans="1:14" ht="12.95" customHeight="1" x14ac:dyDescent="0.2">
      <c r="A21" s="126"/>
      <c r="B21" s="125" t="s">
        <v>253</v>
      </c>
      <c r="C21" s="311"/>
      <c r="D21" s="559"/>
      <c r="E21" s="311"/>
      <c r="F21" s="331" t="s">
        <v>330</v>
      </c>
      <c r="G21" s="557">
        <v>1960000</v>
      </c>
      <c r="H21" s="321">
        <f>(BAL!E35-BAL!E41)-(BAL!G35-BAL!G41)</f>
        <v>3009306.7200000025</v>
      </c>
      <c r="I21" s="580">
        <f>(BAL!G35-BAL!G41)-(BAL!H35-BAL!H41)</f>
        <v>494246.23000000045</v>
      </c>
    </row>
    <row r="22" spans="1:14" ht="12.95" customHeight="1" x14ac:dyDescent="0.2">
      <c r="A22" s="126"/>
      <c r="B22" s="125" t="s">
        <v>254</v>
      </c>
      <c r="C22" s="311"/>
      <c r="D22" s="559"/>
      <c r="E22" s="311"/>
      <c r="F22" s="331" t="s">
        <v>333</v>
      </c>
      <c r="G22" s="557">
        <f>-PyG!D80-PyG!D91</f>
        <v>151720.79999999999</v>
      </c>
      <c r="H22" s="321">
        <f>-PyG!E80-PyG!E91</f>
        <v>-234311.59000000003</v>
      </c>
      <c r="I22" s="580">
        <f>-PyG!F80-PyG!F91</f>
        <v>266116</v>
      </c>
    </row>
    <row r="23" spans="1:14" ht="12.95" customHeight="1" x14ac:dyDescent="0.2">
      <c r="A23" s="126"/>
      <c r="B23" s="125" t="s">
        <v>274</v>
      </c>
      <c r="C23" s="310">
        <f>SUM(C24:C25)</f>
        <v>99385106.739999995</v>
      </c>
      <c r="D23" s="556">
        <f>SUM(D24:D25)</f>
        <v>136045645.53</v>
      </c>
      <c r="E23" s="310">
        <f>SUM(E24:E25)</f>
        <v>140389682.00999999</v>
      </c>
      <c r="F23" s="331" t="s">
        <v>334</v>
      </c>
      <c r="G23" s="556">
        <v>0</v>
      </c>
      <c r="H23" s="310">
        <f>EFE!D25</f>
        <v>0</v>
      </c>
      <c r="I23" s="567">
        <f>EFE!E25</f>
        <v>0</v>
      </c>
      <c r="L23" s="320"/>
    </row>
    <row r="24" spans="1:14" ht="15" customHeight="1" x14ac:dyDescent="0.2">
      <c r="A24" s="126"/>
      <c r="B24" s="125" t="s">
        <v>275</v>
      </c>
      <c r="C24" s="311">
        <v>7000000</v>
      </c>
      <c r="D24" s="559">
        <f>26029836.03+666709.46</f>
        <v>26696545.490000002</v>
      </c>
      <c r="E24" s="311">
        <f>10000000+100000</f>
        <v>10100000</v>
      </c>
      <c r="F24" s="366"/>
      <c r="G24" s="558"/>
      <c r="H24" s="322"/>
      <c r="I24" s="568"/>
    </row>
    <row r="25" spans="1:14" ht="15.75" customHeight="1" x14ac:dyDescent="0.25">
      <c r="B25" s="125" t="s">
        <v>276</v>
      </c>
      <c r="C25" s="311">
        <v>92385106.739999995</v>
      </c>
      <c r="D25" s="559">
        <v>109349100.03999999</v>
      </c>
      <c r="E25" s="311">
        <v>130289682.01000001</v>
      </c>
      <c r="F25" s="329" t="s">
        <v>255</v>
      </c>
      <c r="G25" s="555">
        <f>SUM(G26:G27)</f>
        <v>0</v>
      </c>
      <c r="H25" s="309">
        <f>SUM(H26:H27)</f>
        <v>0</v>
      </c>
      <c r="I25" s="566">
        <f>SUM(I26:I27)</f>
        <v>0</v>
      </c>
    </row>
    <row r="26" spans="1:14" ht="12.95" customHeight="1" x14ac:dyDescent="0.2">
      <c r="A26" s="126"/>
      <c r="B26" s="125" t="s">
        <v>277</v>
      </c>
      <c r="C26" s="310">
        <f>SUM(C27:C32)</f>
        <v>1050000</v>
      </c>
      <c r="D26" s="556">
        <f>SUM(D27:D32)</f>
        <v>400334.67</v>
      </c>
      <c r="E26" s="310">
        <f>SUM(E27:E32)</f>
        <v>197080</v>
      </c>
      <c r="F26" s="330" t="s">
        <v>256</v>
      </c>
      <c r="G26" s="559"/>
      <c r="H26" s="311"/>
      <c r="I26" s="569"/>
    </row>
    <row r="27" spans="1:14" ht="12.95" customHeight="1" x14ac:dyDescent="0.2">
      <c r="A27" s="126"/>
      <c r="B27" s="67" t="s">
        <v>278</v>
      </c>
      <c r="C27" s="311"/>
      <c r="D27" s="559"/>
      <c r="E27" s="311"/>
      <c r="F27" s="330" t="s">
        <v>257</v>
      </c>
      <c r="G27" s="559"/>
      <c r="H27" s="311"/>
      <c r="I27" s="569"/>
      <c r="L27" s="320"/>
    </row>
    <row r="28" spans="1:14" ht="12.95" customHeight="1" x14ac:dyDescent="0.2">
      <c r="A28" s="126"/>
      <c r="B28" s="67" t="s">
        <v>279</v>
      </c>
      <c r="C28" s="311">
        <v>50000</v>
      </c>
      <c r="D28" s="559">
        <v>3000</v>
      </c>
      <c r="E28" s="311">
        <v>5000</v>
      </c>
      <c r="F28" s="330"/>
      <c r="G28" s="556"/>
      <c r="H28" s="310"/>
      <c r="I28" s="567"/>
    </row>
    <row r="29" spans="1:14" ht="15" customHeight="1" x14ac:dyDescent="0.25">
      <c r="A29" s="126"/>
      <c r="B29" s="67" t="s">
        <v>280</v>
      </c>
      <c r="C29" s="311"/>
      <c r="D29" s="559"/>
      <c r="E29" s="311"/>
      <c r="F29" s="329" t="s">
        <v>258</v>
      </c>
      <c r="G29" s="555">
        <f>SUM(G30:G32)</f>
        <v>59888321</v>
      </c>
      <c r="H29" s="309">
        <f>SUM(H30:H32)</f>
        <v>46762176.030000001</v>
      </c>
      <c r="I29" s="566">
        <f>SUM(I30:I32)</f>
        <v>82000000</v>
      </c>
      <c r="J29" s="552"/>
      <c r="K29" s="467"/>
      <c r="L29" s="368"/>
    </row>
    <row r="30" spans="1:14" ht="12.95" customHeight="1" x14ac:dyDescent="0.2">
      <c r="A30" s="126"/>
      <c r="B30" s="67" t="s">
        <v>281</v>
      </c>
      <c r="C30" s="311"/>
      <c r="D30" s="559"/>
      <c r="E30" s="311"/>
      <c r="F30" s="330" t="s">
        <v>259</v>
      </c>
      <c r="G30" s="559">
        <v>54888321</v>
      </c>
      <c r="H30" s="311">
        <v>9000000</v>
      </c>
      <c r="I30" s="569">
        <v>72000000</v>
      </c>
      <c r="J30" s="320"/>
      <c r="K30" s="467"/>
      <c r="L30" s="468"/>
      <c r="M30" s="466"/>
      <c r="N30" s="466"/>
    </row>
    <row r="31" spans="1:14" ht="12.95" customHeight="1" x14ac:dyDescent="0.2">
      <c r="A31" s="126"/>
      <c r="B31" s="67" t="s">
        <v>282</v>
      </c>
      <c r="C31" s="311"/>
      <c r="D31" s="559"/>
      <c r="E31" s="311"/>
      <c r="F31" s="330" t="s">
        <v>260</v>
      </c>
      <c r="G31" s="559"/>
      <c r="H31" s="311">
        <v>11732340</v>
      </c>
      <c r="I31" s="569"/>
      <c r="J31" s="320"/>
    </row>
    <row r="32" spans="1:14" ht="12.95" customHeight="1" x14ac:dyDescent="0.2">
      <c r="A32" s="126"/>
      <c r="B32" s="67" t="s">
        <v>283</v>
      </c>
      <c r="C32" s="311">
        <v>1000000</v>
      </c>
      <c r="D32" s="559">
        <v>397334.67</v>
      </c>
      <c r="E32" s="311">
        <v>192080</v>
      </c>
      <c r="F32" s="330" t="s">
        <v>356</v>
      </c>
      <c r="G32" s="559">
        <v>5000000</v>
      </c>
      <c r="H32" s="311">
        <v>26029836.030000001</v>
      </c>
      <c r="I32" s="569">
        <v>10000000</v>
      </c>
      <c r="J32" s="320"/>
      <c r="K32" s="320"/>
    </row>
    <row r="33" spans="1:15" ht="12.95" customHeight="1" x14ac:dyDescent="0.25">
      <c r="A33" s="126"/>
      <c r="B33" s="72"/>
      <c r="C33" s="310"/>
      <c r="D33" s="556"/>
      <c r="E33" s="310"/>
      <c r="F33" s="332"/>
      <c r="G33" s="560"/>
      <c r="H33" s="323"/>
      <c r="I33" s="570"/>
      <c r="J33" s="320"/>
      <c r="K33" s="320"/>
      <c r="L33" s="368"/>
    </row>
    <row r="34" spans="1:15" ht="12.95" customHeight="1" x14ac:dyDescent="0.25">
      <c r="B34" s="129"/>
      <c r="C34" s="312"/>
      <c r="D34" s="578"/>
      <c r="E34" s="312"/>
      <c r="F34" s="329" t="s">
        <v>261</v>
      </c>
      <c r="G34" s="555">
        <f>SUM(G35:G37)</f>
        <v>0</v>
      </c>
      <c r="H34" s="309">
        <f>SUM(H35:H37)</f>
        <v>0</v>
      </c>
      <c r="I34" s="566">
        <f>SUM(I35:I37)</f>
        <v>0</v>
      </c>
      <c r="L34" s="320"/>
    </row>
    <row r="35" spans="1:15" ht="15.95" customHeight="1" x14ac:dyDescent="0.25">
      <c r="B35" s="130" t="s">
        <v>284</v>
      </c>
      <c r="C35" s="313"/>
      <c r="D35" s="579"/>
      <c r="E35" s="313"/>
      <c r="F35" s="330" t="s">
        <v>262</v>
      </c>
      <c r="G35" s="559"/>
      <c r="H35" s="311"/>
      <c r="I35" s="569"/>
    </row>
    <row r="36" spans="1:15" ht="15.95" customHeight="1" x14ac:dyDescent="0.25">
      <c r="B36" s="130"/>
      <c r="C36" s="312"/>
      <c r="D36" s="578"/>
      <c r="E36" s="312"/>
      <c r="F36" s="330" t="s">
        <v>297</v>
      </c>
      <c r="G36" s="559"/>
      <c r="H36" s="311"/>
      <c r="I36" s="569"/>
    </row>
    <row r="37" spans="1:15" ht="15.95" customHeight="1" x14ac:dyDescent="0.25">
      <c r="B37" s="124" t="s">
        <v>285</v>
      </c>
      <c r="C37" s="313"/>
      <c r="D37" s="579"/>
      <c r="E37" s="313"/>
      <c r="F37" s="330" t="s">
        <v>306</v>
      </c>
      <c r="G37" s="559"/>
      <c r="H37" s="311"/>
      <c r="I37" s="569"/>
      <c r="L37" s="320"/>
    </row>
    <row r="38" spans="1:15" ht="12.95" customHeight="1" x14ac:dyDescent="0.25">
      <c r="B38" s="124"/>
      <c r="C38" s="312"/>
      <c r="D38" s="578"/>
      <c r="E38" s="312"/>
      <c r="F38" s="329"/>
      <c r="G38" s="560"/>
      <c r="H38" s="323"/>
      <c r="I38" s="570"/>
    </row>
    <row r="39" spans="1:15" ht="15.95" customHeight="1" x14ac:dyDescent="0.25">
      <c r="B39" s="124" t="s">
        <v>286</v>
      </c>
      <c r="C39" s="309">
        <f>SUM(C40:C42)</f>
        <v>0</v>
      </c>
      <c r="D39" s="555">
        <f>SUM(D40:D42)</f>
        <v>0</v>
      </c>
      <c r="E39" s="309">
        <f>SUM(E40:E42)</f>
        <v>0</v>
      </c>
      <c r="F39" s="329" t="s">
        <v>303</v>
      </c>
      <c r="G39" s="555">
        <f>SUM(G40:G45)</f>
        <v>1100000</v>
      </c>
      <c r="H39" s="309">
        <f>SUM(H40:H45)</f>
        <v>1199843.0900000001</v>
      </c>
      <c r="I39" s="566">
        <f>SUM(I40:I45)</f>
        <v>869531.47</v>
      </c>
    </row>
    <row r="40" spans="1:15" ht="12.95" customHeight="1" x14ac:dyDescent="0.2">
      <c r="B40" s="128" t="s">
        <v>262</v>
      </c>
      <c r="C40" s="311"/>
      <c r="D40" s="559"/>
      <c r="E40" s="311"/>
      <c r="F40" s="331" t="s">
        <v>298</v>
      </c>
      <c r="G40" s="559"/>
      <c r="H40" s="311"/>
      <c r="I40" s="569"/>
      <c r="J40" s="463"/>
      <c r="K40" s="373"/>
      <c r="L40"/>
      <c r="M40"/>
      <c r="N40"/>
      <c r="O40"/>
    </row>
    <row r="41" spans="1:15" ht="12.95" customHeight="1" x14ac:dyDescent="0.2">
      <c r="B41" s="128" t="s">
        <v>287</v>
      </c>
      <c r="C41" s="311"/>
      <c r="D41" s="559"/>
      <c r="E41" s="311"/>
      <c r="F41" s="330" t="s">
        <v>263</v>
      </c>
      <c r="G41" s="559"/>
      <c r="H41" s="311"/>
      <c r="I41" s="569"/>
      <c r="J41" s="469"/>
      <c r="K41"/>
      <c r="L41" s="373"/>
      <c r="M41" s="463"/>
      <c r="N41"/>
      <c r="O41"/>
    </row>
    <row r="42" spans="1:15" ht="12.95" customHeight="1" x14ac:dyDescent="0.2">
      <c r="B42" s="128" t="s">
        <v>304</v>
      </c>
      <c r="C42" s="311"/>
      <c r="D42" s="559"/>
      <c r="E42" s="311"/>
      <c r="F42" s="330" t="s">
        <v>299</v>
      </c>
      <c r="G42" s="559">
        <v>500000</v>
      </c>
      <c r="H42" s="311">
        <v>0</v>
      </c>
      <c r="I42" s="569"/>
      <c r="J42" s="469"/>
      <c r="K42" s="367"/>
      <c r="L42" s="367"/>
      <c r="M42" s="463"/>
      <c r="N42"/>
      <c r="O42"/>
    </row>
    <row r="43" spans="1:15" ht="12.95" customHeight="1" x14ac:dyDescent="0.2">
      <c r="B43" s="128"/>
      <c r="C43" s="310"/>
      <c r="D43" s="556"/>
      <c r="E43" s="310"/>
      <c r="F43" s="330" t="s">
        <v>300</v>
      </c>
      <c r="G43" s="559">
        <v>600000</v>
      </c>
      <c r="H43" s="311">
        <v>1199843.0900000001</v>
      </c>
      <c r="I43" s="569">
        <v>869531.47</v>
      </c>
      <c r="J43" s="469"/>
      <c r="K43" s="367"/>
      <c r="L43" s="367"/>
      <c r="M43" s="463"/>
      <c r="N43"/>
      <c r="O43"/>
    </row>
    <row r="44" spans="1:15" ht="12.95" customHeight="1" x14ac:dyDescent="0.25">
      <c r="B44" s="131" t="s">
        <v>288</v>
      </c>
      <c r="C44" s="309">
        <f>SUM(C45:C46)</f>
        <v>1000000</v>
      </c>
      <c r="D44" s="555">
        <f>SUM(D45:D46)</f>
        <v>1300000</v>
      </c>
      <c r="E44" s="309">
        <f>SUM(E45:E46)</f>
        <v>1000000</v>
      </c>
      <c r="F44" s="330" t="s">
        <v>307</v>
      </c>
      <c r="G44" s="559"/>
      <c r="H44" s="311"/>
      <c r="I44" s="569"/>
      <c r="J44" s="469"/>
      <c r="K44" s="469"/>
      <c r="L44" s="367"/>
      <c r="M44" s="463"/>
      <c r="N44"/>
      <c r="O44"/>
    </row>
    <row r="45" spans="1:15" ht="12.95" customHeight="1" x14ac:dyDescent="0.2">
      <c r="B45" s="129" t="s">
        <v>337</v>
      </c>
      <c r="C45" s="314"/>
      <c r="D45" s="559"/>
      <c r="E45" s="311"/>
      <c r="F45" s="330" t="s">
        <v>308</v>
      </c>
      <c r="G45" s="559"/>
      <c r="H45" s="311"/>
      <c r="I45" s="569"/>
      <c r="J45" s="469"/>
      <c r="K45" s="367"/>
      <c r="L45"/>
      <c r="M45"/>
      <c r="N45"/>
      <c r="O45"/>
    </row>
    <row r="46" spans="1:15" ht="12.95" customHeight="1" x14ac:dyDescent="0.2">
      <c r="B46" s="129" t="s">
        <v>338</v>
      </c>
      <c r="C46" s="311">
        <v>1000000</v>
      </c>
      <c r="D46" s="559">
        <v>1300000</v>
      </c>
      <c r="E46" s="311">
        <v>1000000</v>
      </c>
      <c r="F46" s="330"/>
      <c r="G46" s="556"/>
      <c r="H46" s="324"/>
      <c r="I46" s="571"/>
      <c r="N46"/>
      <c r="O46"/>
    </row>
    <row r="47" spans="1:15" ht="12.95" customHeight="1" thickBot="1" x14ac:dyDescent="0.3">
      <c r="B47" s="130"/>
      <c r="C47" s="315"/>
      <c r="D47" s="315"/>
      <c r="E47" s="316"/>
      <c r="F47" s="333"/>
      <c r="G47" s="561"/>
      <c r="H47" s="325"/>
      <c r="I47" s="572"/>
      <c r="J47" s="464"/>
      <c r="K47" s="464"/>
      <c r="L47"/>
      <c r="M47"/>
      <c r="N47"/>
      <c r="O47"/>
    </row>
    <row r="48" spans="1:15" ht="19.5" thickTop="1" thickBot="1" x14ac:dyDescent="0.3">
      <c r="B48" s="132" t="s">
        <v>264</v>
      </c>
      <c r="C48" s="317">
        <f>C11+C35+C37+C39+C44</f>
        <v>102015106.73999999</v>
      </c>
      <c r="D48" s="562">
        <f>D11+D35+D37+D39+D44</f>
        <v>138385980.19999999</v>
      </c>
      <c r="E48" s="317">
        <f>E11+E35+E37+E39+E44</f>
        <v>142010762.00999999</v>
      </c>
      <c r="F48" s="334" t="s">
        <v>265</v>
      </c>
      <c r="G48" s="562">
        <f>G11+G25+G29+G34+G39</f>
        <v>76664440.419999987</v>
      </c>
      <c r="H48" s="317">
        <f>H11+H25+H29+H34+H39</f>
        <v>73279282.390000001</v>
      </c>
      <c r="I48" s="573">
        <f>I11+I25+I29+I34+I39</f>
        <v>102614575.98999999</v>
      </c>
      <c r="J48"/>
      <c r="K48"/>
      <c r="L48"/>
      <c r="M48"/>
      <c r="N48"/>
      <c r="O48"/>
    </row>
    <row r="49" spans="2:15" ht="13.5" thickTop="1" x14ac:dyDescent="0.2">
      <c r="B49" s="133"/>
      <c r="C49" s="318"/>
      <c r="D49" s="563"/>
      <c r="E49" s="318"/>
      <c r="F49" s="335"/>
      <c r="G49" s="563"/>
      <c r="H49" s="318"/>
      <c r="I49" s="574"/>
      <c r="J49" s="367"/>
      <c r="K49"/>
      <c r="L49" s="367"/>
      <c r="M49"/>
      <c r="N49"/>
      <c r="O49"/>
    </row>
    <row r="50" spans="2:15" ht="17.25" thickBot="1" x14ac:dyDescent="0.3">
      <c r="B50" s="134" t="s">
        <v>301</v>
      </c>
      <c r="C50" s="319">
        <f>IF(G48-C48&gt;0,G48-C48,0)</f>
        <v>0</v>
      </c>
      <c r="D50" s="564">
        <f>IF(H48-D48&gt;0,H48-D48,0)</f>
        <v>0</v>
      </c>
      <c r="E50" s="319">
        <f>IF(I48-E48&gt;0,I48-E48,0)</f>
        <v>0</v>
      </c>
      <c r="F50" s="336" t="s">
        <v>302</v>
      </c>
      <c r="G50" s="564">
        <f>IF(C48-G48&gt;0,C48-G48,0)</f>
        <v>25350666.320000008</v>
      </c>
      <c r="H50" s="319">
        <f>IF(D48-H48&gt;0,D48-H48,0)</f>
        <v>65106697.809999987</v>
      </c>
      <c r="I50" s="575">
        <f>IF(E48-I48&gt;0,E48-I48,0)</f>
        <v>39396186.019999996</v>
      </c>
      <c r="J50" s="367"/>
      <c r="K50"/>
      <c r="L50" s="367"/>
      <c r="M50"/>
      <c r="N50"/>
      <c r="O50"/>
    </row>
    <row r="51" spans="2:15" x14ac:dyDescent="0.2">
      <c r="C51" s="320"/>
      <c r="D51" s="320"/>
      <c r="E51" s="320"/>
      <c r="F51" s="320"/>
      <c r="G51" s="320"/>
      <c r="H51" s="320"/>
      <c r="I51" s="320"/>
      <c r="J51" s="367"/>
      <c r="K51"/>
      <c r="L51" s="367"/>
      <c r="M51"/>
      <c r="N51"/>
      <c r="O51"/>
    </row>
    <row r="52" spans="2:15" x14ac:dyDescent="0.2">
      <c r="H52" s="320"/>
      <c r="I52" s="320"/>
      <c r="J52" s="367"/>
      <c r="K52"/>
      <c r="L52" s="367"/>
      <c r="M52"/>
      <c r="N52"/>
      <c r="O52"/>
    </row>
    <row r="53" spans="2:15" x14ac:dyDescent="0.2">
      <c r="H53" s="320"/>
      <c r="I53" s="320"/>
      <c r="J53" s="367"/>
      <c r="K53"/>
      <c r="L53" s="367"/>
      <c r="M53"/>
      <c r="N53"/>
      <c r="O53"/>
    </row>
    <row r="54" spans="2:15" x14ac:dyDescent="0.2">
      <c r="H54" s="320"/>
      <c r="I54" s="320"/>
      <c r="J54" s="367"/>
      <c r="K54"/>
      <c r="L54" s="367"/>
      <c r="M54"/>
      <c r="N54"/>
      <c r="O54"/>
    </row>
    <row r="55" spans="2:15" x14ac:dyDescent="0.2">
      <c r="J55" s="367"/>
      <c r="K55"/>
      <c r="L55" s="367"/>
      <c r="M55"/>
      <c r="N55"/>
      <c r="O55"/>
    </row>
    <row r="56" spans="2:15" x14ac:dyDescent="0.2">
      <c r="C56" s="320"/>
      <c r="J56" s="367"/>
      <c r="K56"/>
      <c r="L56" s="367"/>
      <c r="M56"/>
      <c r="N56"/>
      <c r="O56"/>
    </row>
    <row r="57" spans="2:15" x14ac:dyDescent="0.2">
      <c r="C57" s="320"/>
      <c r="D57" s="320"/>
      <c r="E57" s="320"/>
      <c r="J57"/>
      <c r="K57"/>
      <c r="L57" s="367"/>
      <c r="M57"/>
      <c r="N57"/>
      <c r="O57"/>
    </row>
    <row r="58" spans="2:15" x14ac:dyDescent="0.2">
      <c r="C58" s="320"/>
      <c r="D58" s="320"/>
      <c r="E58" s="320"/>
      <c r="J58" s="464"/>
      <c r="K58"/>
      <c r="L58" s="464"/>
      <c r="M58"/>
      <c r="N58"/>
      <c r="O58"/>
    </row>
    <row r="59" spans="2:15" x14ac:dyDescent="0.2">
      <c r="C59" s="320"/>
      <c r="D59" s="320"/>
      <c r="E59" s="320"/>
      <c r="J59"/>
      <c r="K59"/>
      <c r="L59" s="367"/>
      <c r="M59"/>
      <c r="N59"/>
      <c r="O59"/>
    </row>
    <row r="60" spans="2:15" x14ac:dyDescent="0.2">
      <c r="C60" s="320"/>
      <c r="D60" s="320"/>
      <c r="E60" s="320"/>
      <c r="J60"/>
      <c r="K60"/>
      <c r="L60" s="367"/>
      <c r="M60"/>
      <c r="N60"/>
      <c r="O60"/>
    </row>
    <row r="61" spans="2:15" x14ac:dyDescent="0.2">
      <c r="C61" s="320"/>
      <c r="D61" s="320"/>
      <c r="E61" s="320"/>
      <c r="J61"/>
      <c r="K61"/>
      <c r="L61" s="367"/>
      <c r="M61"/>
      <c r="N61"/>
      <c r="O61"/>
    </row>
    <row r="62" spans="2:15" x14ac:dyDescent="0.2">
      <c r="C62" s="320"/>
      <c r="D62" s="320"/>
      <c r="E62" s="320"/>
      <c r="J62"/>
      <c r="K62"/>
      <c r="L62" s="367"/>
      <c r="M62"/>
      <c r="N62"/>
      <c r="O62"/>
    </row>
    <row r="63" spans="2:15" x14ac:dyDescent="0.2">
      <c r="C63" s="320"/>
      <c r="D63" s="320"/>
      <c r="E63" s="320"/>
      <c r="J63"/>
      <c r="K63"/>
      <c r="L63" s="367"/>
      <c r="M63"/>
      <c r="N63"/>
      <c r="O63"/>
    </row>
    <row r="64" spans="2:15" x14ac:dyDescent="0.2">
      <c r="C64" s="320"/>
      <c r="D64" s="320"/>
      <c r="E64" s="320"/>
      <c r="J64"/>
      <c r="K64"/>
      <c r="L64" s="464"/>
      <c r="M64"/>
      <c r="N64"/>
      <c r="O64"/>
    </row>
    <row r="65" spans="3:5" x14ac:dyDescent="0.2">
      <c r="C65" s="320"/>
      <c r="D65" s="320"/>
      <c r="E65" s="320"/>
    </row>
    <row r="66" spans="3:5" x14ac:dyDescent="0.2">
      <c r="C66" s="320"/>
      <c r="D66" s="320"/>
      <c r="E66" s="320"/>
    </row>
    <row r="67" spans="3:5" x14ac:dyDescent="0.2">
      <c r="C67" s="320"/>
      <c r="D67" s="320"/>
      <c r="E67" s="320"/>
    </row>
    <row r="68" spans="3:5" x14ac:dyDescent="0.2">
      <c r="C68" s="320"/>
      <c r="D68" s="320"/>
      <c r="E68" s="320"/>
    </row>
    <row r="69" spans="3:5" x14ac:dyDescent="0.2">
      <c r="C69" s="320"/>
      <c r="D69" s="320"/>
      <c r="E69" s="320"/>
    </row>
    <row r="70" spans="3:5" x14ac:dyDescent="0.2">
      <c r="C70" s="320"/>
      <c r="D70" s="320"/>
      <c r="E70" s="320"/>
    </row>
    <row r="71" spans="3:5" x14ac:dyDescent="0.2">
      <c r="C71" s="320"/>
      <c r="D71" s="320"/>
      <c r="E71" s="320"/>
    </row>
    <row r="72" spans="3:5" x14ac:dyDescent="0.2">
      <c r="C72" s="320"/>
      <c r="D72" s="320"/>
      <c r="E72" s="320"/>
    </row>
    <row r="73" spans="3:5" x14ac:dyDescent="0.2">
      <c r="C73" s="320"/>
      <c r="D73" s="320"/>
      <c r="E73" s="320"/>
    </row>
    <row r="74" spans="3:5" x14ac:dyDescent="0.2">
      <c r="C74" s="320"/>
      <c r="D74" s="320"/>
      <c r="E74" s="320"/>
    </row>
    <row r="75" spans="3:5" x14ac:dyDescent="0.2">
      <c r="C75" s="320"/>
      <c r="D75" s="320"/>
      <c r="E75" s="320"/>
    </row>
    <row r="76" spans="3:5" x14ac:dyDescent="0.2">
      <c r="C76" s="320"/>
      <c r="D76" s="320"/>
      <c r="E76" s="320"/>
    </row>
    <row r="77" spans="3:5" x14ac:dyDescent="0.2">
      <c r="C77" s="320"/>
      <c r="D77" s="320"/>
      <c r="E77" s="320"/>
    </row>
    <row r="78" spans="3:5" x14ac:dyDescent="0.2">
      <c r="C78" s="320"/>
      <c r="D78" s="320"/>
      <c r="E78" s="320"/>
    </row>
    <row r="79" spans="3:5" x14ac:dyDescent="0.2">
      <c r="C79" s="320"/>
      <c r="D79" s="320"/>
      <c r="E79" s="320"/>
    </row>
    <row r="80" spans="3:5" x14ac:dyDescent="0.2">
      <c r="C80" s="320"/>
      <c r="D80" s="320"/>
      <c r="E80" s="320"/>
    </row>
  </sheetData>
  <mergeCells count="2">
    <mergeCell ref="B8:B9"/>
    <mergeCell ref="F8:F9"/>
  </mergeCells>
  <phoneticPr fontId="0" type="noConversion"/>
  <conditionalFormatting sqref="D41:E42 D35:E35 D37:E37 D13:E14 D16:E16 D33:E33 D27:E31 D46:E46 H40:I42 H35:I37 H26:I27 H44:I45 H30:I30">
    <cfRule type="cellIs" dxfId="32" priority="95" stopIfTrue="1" operator="lessThan">
      <formula>0</formula>
    </cfRule>
  </conditionalFormatting>
  <conditionalFormatting sqref="C18:C22">
    <cfRule type="cellIs" dxfId="31" priority="94" stopIfTrue="1" operator="lessThan">
      <formula>0</formula>
    </cfRule>
  </conditionalFormatting>
  <conditionalFormatting sqref="C24:C25">
    <cfRule type="cellIs" dxfId="30" priority="93" stopIfTrue="1" operator="lessThan">
      <formula>0</formula>
    </cfRule>
  </conditionalFormatting>
  <conditionalFormatting sqref="C28">
    <cfRule type="cellIs" dxfId="29" priority="92" stopIfTrue="1" operator="lessThan">
      <formula>0</formula>
    </cfRule>
  </conditionalFormatting>
  <conditionalFormatting sqref="C27">
    <cfRule type="cellIs" dxfId="28" priority="91" stopIfTrue="1" operator="lessThan">
      <formula>0</formula>
    </cfRule>
  </conditionalFormatting>
  <conditionalFormatting sqref="C29:C32">
    <cfRule type="cellIs" dxfId="27" priority="90" stopIfTrue="1" operator="lessThan">
      <formula>0</formula>
    </cfRule>
  </conditionalFormatting>
  <conditionalFormatting sqref="C33">
    <cfRule type="cellIs" dxfId="26" priority="89" stopIfTrue="1" operator="lessThan">
      <formula>0</formula>
    </cfRule>
  </conditionalFormatting>
  <conditionalFormatting sqref="C35">
    <cfRule type="cellIs" dxfId="25" priority="88" stopIfTrue="1" operator="lessThan">
      <formula>0</formula>
    </cfRule>
  </conditionalFormatting>
  <conditionalFormatting sqref="C37">
    <cfRule type="cellIs" dxfId="24" priority="87" stopIfTrue="1" operator="lessThan">
      <formula>0</formula>
    </cfRule>
  </conditionalFormatting>
  <conditionalFormatting sqref="C40:C42">
    <cfRule type="cellIs" dxfId="23" priority="86" stopIfTrue="1" operator="lessThan">
      <formula>0</formula>
    </cfRule>
  </conditionalFormatting>
  <conditionalFormatting sqref="C45:C46">
    <cfRule type="cellIs" dxfId="22" priority="85" stopIfTrue="1" operator="lessThan">
      <formula>0</formula>
    </cfRule>
  </conditionalFormatting>
  <conditionalFormatting sqref="G26:G27">
    <cfRule type="cellIs" dxfId="21" priority="84" stopIfTrue="1" operator="lessThan">
      <formula>0</formula>
    </cfRule>
  </conditionalFormatting>
  <conditionalFormatting sqref="G35:G37">
    <cfRule type="cellIs" dxfId="20" priority="82" stopIfTrue="1" operator="lessThan">
      <formula>0</formula>
    </cfRule>
  </conditionalFormatting>
  <conditionalFormatting sqref="G40:G45">
    <cfRule type="cellIs" dxfId="19" priority="81" stopIfTrue="1" operator="lessThan">
      <formula>0</formula>
    </cfRule>
  </conditionalFormatting>
  <conditionalFormatting sqref="C13:C16">
    <cfRule type="cellIs" dxfId="18" priority="75" stopIfTrue="1" operator="lessThan">
      <formula>0</formula>
    </cfRule>
  </conditionalFormatting>
  <conditionalFormatting sqref="D22:E22">
    <cfRule type="cellIs" dxfId="17" priority="62" stopIfTrue="1" operator="lessThan">
      <formula>0</formula>
    </cfRule>
  </conditionalFormatting>
  <conditionalFormatting sqref="D45:E45">
    <cfRule type="cellIs" dxfId="16" priority="43" stopIfTrue="1" operator="lessThan">
      <formula>0</formula>
    </cfRule>
  </conditionalFormatting>
  <conditionalFormatting sqref="D18:E19">
    <cfRule type="cellIs" dxfId="15" priority="38" stopIfTrue="1" operator="lessThan">
      <formula>0</formula>
    </cfRule>
  </conditionalFormatting>
  <conditionalFormatting sqref="D40:E40">
    <cfRule type="cellIs" dxfId="14" priority="25" stopIfTrue="1" operator="lessThan">
      <formula>0</formula>
    </cfRule>
  </conditionalFormatting>
  <conditionalFormatting sqref="D32:E32">
    <cfRule type="cellIs" dxfId="13" priority="26" stopIfTrue="1" operator="lessThan">
      <formula>0</formula>
    </cfRule>
  </conditionalFormatting>
  <conditionalFormatting sqref="H31:I31">
    <cfRule type="cellIs" dxfId="12" priority="23" stopIfTrue="1" operator="lessThan">
      <formula>0</formula>
    </cfRule>
  </conditionalFormatting>
  <conditionalFormatting sqref="H32:I32">
    <cfRule type="cellIs" dxfId="11" priority="22" stopIfTrue="1" operator="lessThan">
      <formula>0</formula>
    </cfRule>
  </conditionalFormatting>
  <conditionalFormatting sqref="H43:I43">
    <cfRule type="cellIs" dxfId="10" priority="20" stopIfTrue="1" operator="lessThan">
      <formula>0</formula>
    </cfRule>
  </conditionalFormatting>
  <conditionalFormatting sqref="D25:E25">
    <cfRule type="cellIs" dxfId="9" priority="17" stopIfTrue="1" operator="lessThan">
      <formula>0</formula>
    </cfRule>
  </conditionalFormatting>
  <conditionalFormatting sqref="G31">
    <cfRule type="cellIs" dxfId="8" priority="12" stopIfTrue="1" operator="lessThan">
      <formula>0</formula>
    </cfRule>
  </conditionalFormatting>
  <conditionalFormatting sqref="G32">
    <cfRule type="cellIs" dxfId="7" priority="11" stopIfTrue="1" operator="lessThan">
      <formula>0</formula>
    </cfRule>
  </conditionalFormatting>
  <conditionalFormatting sqref="G30">
    <cfRule type="cellIs" dxfId="6" priority="10" stopIfTrue="1" operator="lessThan">
      <formula>0</formula>
    </cfRule>
  </conditionalFormatting>
  <conditionalFormatting sqref="D15:E15">
    <cfRule type="cellIs" dxfId="5" priority="9" stopIfTrue="1" operator="lessThan">
      <formula>0</formula>
    </cfRule>
  </conditionalFormatting>
  <conditionalFormatting sqref="D20:E20">
    <cfRule type="cellIs" dxfId="4" priority="8" stopIfTrue="1" operator="lessThan">
      <formula>0</formula>
    </cfRule>
  </conditionalFormatting>
  <conditionalFormatting sqref="D24:E24">
    <cfRule type="cellIs" dxfId="3" priority="7" stopIfTrue="1" operator="lessThan">
      <formula>0</formula>
    </cfRule>
  </conditionalFormatting>
  <conditionalFormatting sqref="D21:E21">
    <cfRule type="cellIs" dxfId="2" priority="3" stopIfTrue="1" operator="lessThan">
      <formula>0</formula>
    </cfRule>
  </conditionalFormatting>
  <printOptions horizontalCentered="1" verticalCentered="1"/>
  <pageMargins left="0.75" right="0.75" top="1" bottom="1" header="0" footer="0.39370078740157483"/>
  <pageSetup paperSize="8" scale="7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showZeros="0" zoomScale="75" zoomScaleNormal="75" workbookViewId="0">
      <selection activeCell="D54" sqref="D54"/>
    </sheetView>
  </sheetViews>
  <sheetFormatPr baseColWidth="10" defaultColWidth="11.5703125" defaultRowHeight="12.75" x14ac:dyDescent="0.2"/>
  <cols>
    <col min="1" max="1" width="3.85546875" style="362" customWidth="1"/>
    <col min="2" max="2" width="38" style="362" customWidth="1"/>
    <col min="3" max="3" width="13.42578125" style="362" customWidth="1"/>
    <col min="4" max="4" width="18.7109375" style="362" customWidth="1"/>
    <col min="5" max="5" width="15.5703125" style="362" bestFit="1" customWidth="1"/>
    <col min="6" max="6" width="10.7109375" style="362" customWidth="1"/>
    <col min="7" max="7" width="22.140625" style="362" customWidth="1"/>
    <col min="8" max="8" width="19.5703125" style="362" customWidth="1"/>
    <col min="9" max="9" width="14.28515625" style="362" customWidth="1"/>
    <col min="10" max="10" width="18.7109375" style="362" customWidth="1"/>
    <col min="11" max="11" width="15.5703125" style="362" bestFit="1" customWidth="1"/>
    <col min="12" max="12" width="10.7109375" style="362" customWidth="1"/>
    <col min="13" max="13" width="15.7109375" style="362" customWidth="1"/>
    <col min="14" max="14" width="19.85546875" style="362" customWidth="1"/>
    <col min="15" max="16384" width="11.5703125" style="362"/>
  </cols>
  <sheetData>
    <row r="1" spans="2:17" ht="20.25" customHeight="1" thickBot="1" x14ac:dyDescent="0.25"/>
    <row r="2" spans="2:17" ht="20.25" customHeight="1" thickTop="1" thickBot="1" x14ac:dyDescent="0.3">
      <c r="B2" s="389" t="s">
        <v>452</v>
      </c>
      <c r="G2" s="390" t="s">
        <v>414</v>
      </c>
      <c r="O2" s="391" t="s">
        <v>415</v>
      </c>
    </row>
    <row r="3" spans="2:17" ht="19.5" customHeight="1" thickTop="1" x14ac:dyDescent="0.25">
      <c r="B3" s="389" t="s">
        <v>453</v>
      </c>
    </row>
    <row r="4" spans="2:17" ht="20.25" customHeight="1" x14ac:dyDescent="0.25">
      <c r="B4" s="389" t="s">
        <v>454</v>
      </c>
      <c r="C4" s="389"/>
      <c r="D4" s="389"/>
      <c r="E4" s="389"/>
      <c r="F4" s="389"/>
      <c r="G4" s="389"/>
      <c r="H4" s="389"/>
    </row>
    <row r="5" spans="2:17" ht="20.25" customHeight="1" x14ac:dyDescent="0.25">
      <c r="B5" s="389" t="s">
        <v>455</v>
      </c>
      <c r="C5" s="389"/>
      <c r="D5" s="389"/>
      <c r="E5" s="389"/>
      <c r="F5" s="389"/>
      <c r="G5" s="389"/>
      <c r="H5" s="389"/>
      <c r="M5" s="389"/>
    </row>
    <row r="6" spans="2:17" ht="6.75" customHeight="1" thickBot="1" x14ac:dyDescent="0.25">
      <c r="B6" s="392"/>
      <c r="C6" s="392"/>
      <c r="D6" s="392"/>
      <c r="E6" s="392"/>
      <c r="F6" s="392"/>
      <c r="H6" s="392"/>
      <c r="I6" s="393"/>
      <c r="J6" s="394"/>
      <c r="K6" s="394"/>
      <c r="L6" s="394"/>
      <c r="M6" s="392"/>
      <c r="N6" s="394"/>
    </row>
    <row r="7" spans="2:17" ht="22.5" customHeight="1" x14ac:dyDescent="0.25">
      <c r="B7" s="395" t="s">
        <v>416</v>
      </c>
      <c r="C7" s="396" t="s">
        <v>417</v>
      </c>
      <c r="D7" s="633" t="s">
        <v>440</v>
      </c>
      <c r="E7" s="634"/>
      <c r="F7" s="634"/>
      <c r="G7" s="634"/>
      <c r="H7" s="635"/>
      <c r="I7" s="396" t="s">
        <v>417</v>
      </c>
      <c r="J7" s="633" t="s">
        <v>441</v>
      </c>
      <c r="K7" s="634"/>
      <c r="L7" s="634"/>
      <c r="M7" s="634"/>
      <c r="N7" s="635"/>
      <c r="O7" s="397" t="s">
        <v>418</v>
      </c>
    </row>
    <row r="8" spans="2:17" ht="18" customHeight="1" thickBot="1" x14ac:dyDescent="0.3">
      <c r="B8" s="398" t="s">
        <v>419</v>
      </c>
      <c r="C8" s="399" t="s">
        <v>420</v>
      </c>
      <c r="D8" s="400" t="s">
        <v>421</v>
      </c>
      <c r="E8" s="401" t="s">
        <v>422</v>
      </c>
      <c r="F8" s="401" t="s">
        <v>423</v>
      </c>
      <c r="G8" s="401" t="s">
        <v>424</v>
      </c>
      <c r="H8" s="402" t="s">
        <v>425</v>
      </c>
      <c r="I8" s="403" t="s">
        <v>426</v>
      </c>
      <c r="J8" s="400" t="s">
        <v>421</v>
      </c>
      <c r="K8" s="401" t="s">
        <v>422</v>
      </c>
      <c r="L8" s="401" t="s">
        <v>423</v>
      </c>
      <c r="M8" s="401" t="s">
        <v>424</v>
      </c>
      <c r="N8" s="402" t="s">
        <v>427</v>
      </c>
      <c r="O8" s="404" t="s">
        <v>6</v>
      </c>
    </row>
    <row r="9" spans="2:17" ht="15" customHeight="1" thickTop="1" x14ac:dyDescent="0.2">
      <c r="B9" s="405" t="s">
        <v>442</v>
      </c>
      <c r="C9" s="406">
        <v>2</v>
      </c>
      <c r="D9" s="407">
        <v>209389.54</v>
      </c>
      <c r="E9" s="407">
        <v>0</v>
      </c>
      <c r="F9" s="407">
        <v>0</v>
      </c>
      <c r="G9" s="407">
        <v>35277.040000000001</v>
      </c>
      <c r="H9" s="408">
        <f t="shared" ref="H9:H19" si="0">ROUND(SUM(D9:G9),2)</f>
        <v>244666.58</v>
      </c>
      <c r="I9" s="406">
        <v>2</v>
      </c>
      <c r="J9" s="407">
        <v>196416.24</v>
      </c>
      <c r="K9" s="407">
        <v>0</v>
      </c>
      <c r="L9" s="407">
        <v>0</v>
      </c>
      <c r="M9" s="407">
        <v>31194.959999999999</v>
      </c>
      <c r="N9" s="409">
        <f t="shared" ref="N9:N19" si="1">SUM(J9:M9)</f>
        <v>227611.19999999998</v>
      </c>
      <c r="O9" s="410">
        <f t="shared" ref="O9:O38" si="2">IF(H9=0," ",(H9/N9)-1)</f>
        <v>7.4932077156133037E-2</v>
      </c>
      <c r="Q9" s="365"/>
    </row>
    <row r="10" spans="2:17" ht="15" customHeight="1" x14ac:dyDescent="0.2">
      <c r="B10" s="411" t="s">
        <v>443</v>
      </c>
      <c r="C10" s="406">
        <v>5</v>
      </c>
      <c r="D10" s="407">
        <v>468541.41</v>
      </c>
      <c r="E10" s="407">
        <v>22142.959999999999</v>
      </c>
      <c r="F10" s="407">
        <v>0</v>
      </c>
      <c r="G10" s="407">
        <v>88192.59</v>
      </c>
      <c r="H10" s="409">
        <f t="shared" si="0"/>
        <v>578876.96</v>
      </c>
      <c r="I10" s="406">
        <v>5</v>
      </c>
      <c r="J10" s="407">
        <v>528069.17999999993</v>
      </c>
      <c r="K10" s="407">
        <v>36152.54</v>
      </c>
      <c r="L10" s="407">
        <v>0</v>
      </c>
      <c r="M10" s="407">
        <v>109479.96000000002</v>
      </c>
      <c r="N10" s="409">
        <f t="shared" si="1"/>
        <v>673701.67999999993</v>
      </c>
      <c r="O10" s="412">
        <f t="shared" si="2"/>
        <v>-0.14075179388004488</v>
      </c>
      <c r="Q10" s="365"/>
    </row>
    <row r="11" spans="2:17" ht="15" customHeight="1" x14ac:dyDescent="0.2">
      <c r="B11" s="411" t="s">
        <v>444</v>
      </c>
      <c r="C11" s="406">
        <v>18</v>
      </c>
      <c r="D11" s="407">
        <v>1144150.95</v>
      </c>
      <c r="E11" s="407">
        <v>123489.57</v>
      </c>
      <c r="F11" s="407">
        <v>0</v>
      </c>
      <c r="G11" s="407">
        <v>317576.32000000001</v>
      </c>
      <c r="H11" s="409">
        <f t="shared" si="0"/>
        <v>1585216.84</v>
      </c>
      <c r="I11" s="406">
        <v>17</v>
      </c>
      <c r="J11" s="407">
        <v>1115620.8199999998</v>
      </c>
      <c r="K11" s="407">
        <v>128683.96</v>
      </c>
      <c r="L11" s="407">
        <v>0</v>
      </c>
      <c r="M11" s="407">
        <v>316781.25999999989</v>
      </c>
      <c r="N11" s="409">
        <f t="shared" si="1"/>
        <v>1561086.0399999996</v>
      </c>
      <c r="O11" s="412">
        <f t="shared" si="2"/>
        <v>1.5457700204660307E-2</v>
      </c>
    </row>
    <row r="12" spans="2:17" ht="15" customHeight="1" x14ac:dyDescent="0.2">
      <c r="B12" s="411" t="s">
        <v>445</v>
      </c>
      <c r="C12" s="406">
        <v>17</v>
      </c>
      <c r="D12" s="407">
        <v>821695.7</v>
      </c>
      <c r="E12" s="407">
        <v>91126.79</v>
      </c>
      <c r="F12" s="407">
        <v>0</v>
      </c>
      <c r="G12" s="407">
        <v>286176.7</v>
      </c>
      <c r="H12" s="409">
        <f t="shared" si="0"/>
        <v>1198999.19</v>
      </c>
      <c r="I12" s="406">
        <v>16</v>
      </c>
      <c r="J12" s="407">
        <v>867341.32</v>
      </c>
      <c r="K12" s="407">
        <v>83562.12</v>
      </c>
      <c r="L12" s="407">
        <v>0</v>
      </c>
      <c r="M12" s="407">
        <v>308922.23999999999</v>
      </c>
      <c r="N12" s="409">
        <f t="shared" si="1"/>
        <v>1259825.68</v>
      </c>
      <c r="O12" s="412">
        <f t="shared" si="2"/>
        <v>-4.8281671794466074E-2</v>
      </c>
    </row>
    <row r="13" spans="2:17" ht="15" customHeight="1" x14ac:dyDescent="0.2">
      <c r="B13" s="411" t="s">
        <v>446</v>
      </c>
      <c r="C13" s="406">
        <v>44</v>
      </c>
      <c r="D13" s="407">
        <v>2029703.46</v>
      </c>
      <c r="E13" s="407">
        <v>182679.4</v>
      </c>
      <c r="F13" s="407">
        <v>0</v>
      </c>
      <c r="G13" s="407">
        <v>776072.05</v>
      </c>
      <c r="H13" s="409">
        <f t="shared" si="0"/>
        <v>2988454.91</v>
      </c>
      <c r="I13" s="406">
        <v>44</v>
      </c>
      <c r="J13" s="407">
        <v>2022527.1199999999</v>
      </c>
      <c r="K13" s="407">
        <v>164482.57999999999</v>
      </c>
      <c r="L13" s="407">
        <v>0</v>
      </c>
      <c r="M13" s="407">
        <v>707900.89</v>
      </c>
      <c r="N13" s="409">
        <f t="shared" si="1"/>
        <v>2894910.59</v>
      </c>
      <c r="O13" s="412">
        <f t="shared" si="2"/>
        <v>3.2313371032298477E-2</v>
      </c>
    </row>
    <row r="14" spans="2:17" ht="15" customHeight="1" x14ac:dyDescent="0.2">
      <c r="B14" s="411" t="s">
        <v>447</v>
      </c>
      <c r="C14" s="406">
        <v>47</v>
      </c>
      <c r="D14" s="407">
        <v>1974175.19</v>
      </c>
      <c r="E14" s="407">
        <v>149039.14000000001</v>
      </c>
      <c r="F14" s="407">
        <v>0</v>
      </c>
      <c r="G14" s="407">
        <v>619091.87</v>
      </c>
      <c r="H14" s="409">
        <f t="shared" si="0"/>
        <v>2742306.2</v>
      </c>
      <c r="I14" s="406">
        <v>47</v>
      </c>
      <c r="J14" s="407">
        <v>1829341.2999999998</v>
      </c>
      <c r="K14" s="407">
        <v>144466.37</v>
      </c>
      <c r="L14" s="407">
        <v>0</v>
      </c>
      <c r="M14" s="407">
        <v>613425.69999999995</v>
      </c>
      <c r="N14" s="409">
        <f t="shared" si="1"/>
        <v>2587233.37</v>
      </c>
      <c r="O14" s="412">
        <f t="shared" si="2"/>
        <v>5.993770480781957E-2</v>
      </c>
    </row>
    <row r="15" spans="2:17" ht="15" customHeight="1" x14ac:dyDescent="0.2">
      <c r="B15" s="411" t="s">
        <v>448</v>
      </c>
      <c r="C15" s="406">
        <v>43</v>
      </c>
      <c r="D15" s="407">
        <v>1533844.85</v>
      </c>
      <c r="E15" s="407">
        <v>286580.98</v>
      </c>
      <c r="F15" s="407">
        <v>0</v>
      </c>
      <c r="G15" s="407">
        <v>670669.57999999996</v>
      </c>
      <c r="H15" s="409">
        <f t="shared" si="0"/>
        <v>2491095.41</v>
      </c>
      <c r="I15" s="406">
        <v>43</v>
      </c>
      <c r="J15" s="407">
        <v>1373075.1400000001</v>
      </c>
      <c r="K15" s="407">
        <v>242327.76</v>
      </c>
      <c r="L15" s="407">
        <v>0</v>
      </c>
      <c r="M15" s="407">
        <v>546816.54</v>
      </c>
      <c r="N15" s="409">
        <f t="shared" si="1"/>
        <v>2162219.4400000004</v>
      </c>
      <c r="O15" s="412">
        <f t="shared" si="2"/>
        <v>0.15210110681457922</v>
      </c>
    </row>
    <row r="16" spans="2:17" ht="15" customHeight="1" x14ac:dyDescent="0.2">
      <c r="B16" s="411" t="s">
        <v>449</v>
      </c>
      <c r="C16" s="406">
        <v>50</v>
      </c>
      <c r="D16" s="407">
        <v>1478524.32</v>
      </c>
      <c r="E16" s="407">
        <v>261457.24</v>
      </c>
      <c r="F16" s="407">
        <v>0</v>
      </c>
      <c r="G16" s="407">
        <v>604911.71</v>
      </c>
      <c r="H16" s="409">
        <f t="shared" si="0"/>
        <v>2344893.27</v>
      </c>
      <c r="I16" s="406">
        <v>49</v>
      </c>
      <c r="J16" s="407">
        <v>1442020.8399999999</v>
      </c>
      <c r="K16" s="407">
        <v>236191.01000000007</v>
      </c>
      <c r="L16" s="407">
        <v>0</v>
      </c>
      <c r="M16" s="407">
        <v>569741.14</v>
      </c>
      <c r="N16" s="409">
        <f t="shared" si="1"/>
        <v>2247952.9899999998</v>
      </c>
      <c r="O16" s="412">
        <f t="shared" si="2"/>
        <v>4.3123802157446489E-2</v>
      </c>
    </row>
    <row r="17" spans="2:15" ht="15" customHeight="1" x14ac:dyDescent="0.2">
      <c r="B17" s="411" t="s">
        <v>450</v>
      </c>
      <c r="C17" s="406">
        <v>92</v>
      </c>
      <c r="D17" s="407">
        <v>2309349.06</v>
      </c>
      <c r="E17" s="407">
        <v>330866.89</v>
      </c>
      <c r="F17" s="407">
        <v>0</v>
      </c>
      <c r="G17" s="407">
        <v>1019243.07</v>
      </c>
      <c r="H17" s="409">
        <f t="shared" si="0"/>
        <v>3659459.02</v>
      </c>
      <c r="I17" s="406">
        <v>88</v>
      </c>
      <c r="J17" s="407">
        <v>2268924.88</v>
      </c>
      <c r="K17" s="407">
        <v>321787.42</v>
      </c>
      <c r="L17" s="407">
        <v>0</v>
      </c>
      <c r="M17" s="407">
        <v>817287.44000000006</v>
      </c>
      <c r="N17" s="409">
        <f t="shared" si="1"/>
        <v>3407999.7399999998</v>
      </c>
      <c r="O17" s="412">
        <f t="shared" si="2"/>
        <v>7.3785005629137812E-2</v>
      </c>
    </row>
    <row r="18" spans="2:15" ht="15" customHeight="1" x14ac:dyDescent="0.2">
      <c r="B18" s="411" t="s">
        <v>428</v>
      </c>
      <c r="C18" s="406">
        <v>4</v>
      </c>
      <c r="D18" s="407">
        <v>86752.09</v>
      </c>
      <c r="E18" s="407">
        <v>14478.09</v>
      </c>
      <c r="F18" s="407">
        <v>0</v>
      </c>
      <c r="G18" s="407">
        <v>32540.97</v>
      </c>
      <c r="H18" s="409">
        <f t="shared" si="0"/>
        <v>133771.15</v>
      </c>
      <c r="I18" s="406">
        <v>4</v>
      </c>
      <c r="J18" s="407">
        <v>82581.52</v>
      </c>
      <c r="K18" s="407">
        <v>10048.84</v>
      </c>
      <c r="L18" s="407">
        <v>0</v>
      </c>
      <c r="M18" s="407">
        <v>30193.66</v>
      </c>
      <c r="N18" s="409">
        <f t="shared" si="1"/>
        <v>122824.02</v>
      </c>
      <c r="O18" s="412">
        <f t="shared" si="2"/>
        <v>8.9128575990266246E-2</v>
      </c>
    </row>
    <row r="19" spans="2:15" ht="15" customHeight="1" x14ac:dyDescent="0.2">
      <c r="B19" s="411" t="s">
        <v>451</v>
      </c>
      <c r="C19" s="406">
        <v>12</v>
      </c>
      <c r="D19" s="407">
        <v>403842.46</v>
      </c>
      <c r="E19" s="407">
        <v>85165.22</v>
      </c>
      <c r="F19" s="407">
        <v>0</v>
      </c>
      <c r="G19" s="407">
        <v>238027.26</v>
      </c>
      <c r="H19" s="409">
        <f t="shared" si="0"/>
        <v>727034.94</v>
      </c>
      <c r="I19" s="406">
        <v>12</v>
      </c>
      <c r="J19" s="407">
        <v>383506.62</v>
      </c>
      <c r="K19" s="407">
        <v>82396.850000000006</v>
      </c>
      <c r="L19" s="407">
        <v>0</v>
      </c>
      <c r="M19" s="407">
        <v>157451.88000000003</v>
      </c>
      <c r="N19" s="409">
        <f t="shared" si="1"/>
        <v>623355.35</v>
      </c>
      <c r="O19" s="412">
        <f t="shared" si="2"/>
        <v>0.16632501830617152</v>
      </c>
    </row>
    <row r="20" spans="2:15" ht="15" customHeight="1" x14ac:dyDescent="0.2">
      <c r="B20" s="411"/>
      <c r="C20" s="406"/>
      <c r="D20" s="407"/>
      <c r="E20" s="407"/>
      <c r="F20" s="407"/>
      <c r="G20" s="407"/>
      <c r="H20" s="409">
        <f t="shared" ref="H20:H37" si="3">SUM(D20:G20)</f>
        <v>0</v>
      </c>
      <c r="I20" s="406"/>
      <c r="J20" s="407"/>
      <c r="K20" s="407"/>
      <c r="L20" s="407"/>
      <c r="M20" s="407"/>
      <c r="N20" s="409">
        <f t="shared" ref="N20:N37" si="4">SUM(J20:M20)</f>
        <v>0</v>
      </c>
      <c r="O20" s="412" t="str">
        <f t="shared" si="2"/>
        <v xml:space="preserve"> </v>
      </c>
    </row>
    <row r="21" spans="2:15" ht="15" customHeight="1" x14ac:dyDescent="0.2">
      <c r="B21" s="415"/>
      <c r="C21" s="416"/>
      <c r="D21" s="414"/>
      <c r="E21" s="414"/>
      <c r="F21" s="414"/>
      <c r="G21" s="414"/>
      <c r="H21" s="472">
        <f t="shared" si="3"/>
        <v>0</v>
      </c>
      <c r="I21" s="413"/>
      <c r="J21" s="414"/>
      <c r="K21" s="414"/>
      <c r="L21" s="414"/>
      <c r="M21" s="414"/>
      <c r="N21" s="409">
        <f t="shared" si="4"/>
        <v>0</v>
      </c>
      <c r="O21" s="412" t="str">
        <f t="shared" si="2"/>
        <v xml:space="preserve"> </v>
      </c>
    </row>
    <row r="22" spans="2:15" ht="15" customHeight="1" x14ac:dyDescent="0.2">
      <c r="B22" s="415"/>
      <c r="C22" s="416"/>
      <c r="D22" s="414"/>
      <c r="E22" s="414"/>
      <c r="F22" s="414"/>
      <c r="G22" s="414"/>
      <c r="H22" s="473">
        <f t="shared" si="3"/>
        <v>0</v>
      </c>
      <c r="I22" s="413"/>
      <c r="J22" s="414"/>
      <c r="K22" s="478"/>
      <c r="L22" s="476"/>
      <c r="M22" s="414"/>
      <c r="N22" s="409">
        <f t="shared" si="4"/>
        <v>0</v>
      </c>
      <c r="O22" s="412" t="str">
        <f t="shared" si="2"/>
        <v xml:space="preserve"> </v>
      </c>
    </row>
    <row r="23" spans="2:15" ht="15" customHeight="1" x14ac:dyDescent="0.2">
      <c r="B23" s="415"/>
      <c r="C23" s="416"/>
      <c r="D23" s="414"/>
      <c r="E23" s="414"/>
      <c r="F23" s="414"/>
      <c r="G23" s="414"/>
      <c r="H23" s="473">
        <f t="shared" si="3"/>
        <v>0</v>
      </c>
      <c r="I23" s="413"/>
      <c r="J23" s="414"/>
      <c r="K23" s="414"/>
      <c r="L23" s="476"/>
      <c r="M23" s="414"/>
      <c r="N23" s="409">
        <f t="shared" si="4"/>
        <v>0</v>
      </c>
      <c r="O23" s="412" t="str">
        <f t="shared" si="2"/>
        <v xml:space="preserve"> </v>
      </c>
    </row>
    <row r="24" spans="2:15" ht="15" customHeight="1" x14ac:dyDescent="0.2">
      <c r="B24" s="415"/>
      <c r="C24" s="416"/>
      <c r="D24" s="414"/>
      <c r="E24" s="414"/>
      <c r="F24" s="414"/>
      <c r="G24" s="414"/>
      <c r="H24" s="473">
        <f t="shared" si="3"/>
        <v>0</v>
      </c>
      <c r="I24" s="413"/>
      <c r="J24" s="414"/>
      <c r="K24" s="414"/>
      <c r="L24" s="476"/>
      <c r="M24" s="414"/>
      <c r="N24" s="409">
        <f t="shared" si="4"/>
        <v>0</v>
      </c>
      <c r="O24" s="412" t="str">
        <f t="shared" si="2"/>
        <v xml:space="preserve"> </v>
      </c>
    </row>
    <row r="25" spans="2:15" ht="15" customHeight="1" x14ac:dyDescent="0.2">
      <c r="B25" s="415"/>
      <c r="C25" s="416"/>
      <c r="D25" s="414"/>
      <c r="E25" s="414"/>
      <c r="F25" s="414"/>
      <c r="G25" s="414"/>
      <c r="H25" s="473">
        <f t="shared" si="3"/>
        <v>0</v>
      </c>
      <c r="I25" s="413"/>
      <c r="J25" s="414"/>
      <c r="K25" s="414"/>
      <c r="L25" s="476"/>
      <c r="M25" s="414"/>
      <c r="N25" s="409">
        <f t="shared" si="4"/>
        <v>0</v>
      </c>
      <c r="O25" s="412" t="str">
        <f t="shared" si="2"/>
        <v xml:space="preserve"> </v>
      </c>
    </row>
    <row r="26" spans="2:15" ht="15" customHeight="1" x14ac:dyDescent="0.2">
      <c r="B26" s="415"/>
      <c r="C26" s="416"/>
      <c r="D26" s="414"/>
      <c r="E26" s="414"/>
      <c r="F26" s="414"/>
      <c r="G26" s="414"/>
      <c r="H26" s="473">
        <f t="shared" si="3"/>
        <v>0</v>
      </c>
      <c r="I26" s="413"/>
      <c r="J26" s="414"/>
      <c r="K26" s="414"/>
      <c r="L26" s="476"/>
      <c r="M26" s="414"/>
      <c r="N26" s="409">
        <f t="shared" si="4"/>
        <v>0</v>
      </c>
      <c r="O26" s="412" t="str">
        <f t="shared" si="2"/>
        <v xml:space="preserve"> </v>
      </c>
    </row>
    <row r="27" spans="2:15" ht="15" customHeight="1" x14ac:dyDescent="0.2">
      <c r="B27" s="415"/>
      <c r="C27" s="416"/>
      <c r="D27" s="414"/>
      <c r="E27" s="414"/>
      <c r="F27" s="414"/>
      <c r="G27" s="414"/>
      <c r="H27" s="473">
        <f t="shared" si="3"/>
        <v>0</v>
      </c>
      <c r="I27" s="413"/>
      <c r="J27" s="414"/>
      <c r="K27" s="414"/>
      <c r="L27" s="476"/>
      <c r="M27" s="414"/>
      <c r="N27" s="409">
        <f t="shared" si="4"/>
        <v>0</v>
      </c>
      <c r="O27" s="412" t="str">
        <f t="shared" si="2"/>
        <v xml:space="preserve"> </v>
      </c>
    </row>
    <row r="28" spans="2:15" ht="15" customHeight="1" x14ac:dyDescent="0.2">
      <c r="B28" s="415"/>
      <c r="C28" s="416"/>
      <c r="D28" s="414"/>
      <c r="E28" s="414"/>
      <c r="F28" s="414"/>
      <c r="G28" s="414"/>
      <c r="H28" s="473">
        <f t="shared" si="3"/>
        <v>0</v>
      </c>
      <c r="I28" s="413"/>
      <c r="J28" s="414"/>
      <c r="K28" s="414"/>
      <c r="L28" s="476"/>
      <c r="M28" s="414"/>
      <c r="N28" s="409">
        <f t="shared" si="4"/>
        <v>0</v>
      </c>
      <c r="O28" s="412" t="str">
        <f t="shared" si="2"/>
        <v xml:space="preserve"> </v>
      </c>
    </row>
    <row r="29" spans="2:15" ht="15" customHeight="1" x14ac:dyDescent="0.2">
      <c r="B29" s="415"/>
      <c r="C29" s="416"/>
      <c r="D29" s="414"/>
      <c r="E29" s="414"/>
      <c r="F29" s="414"/>
      <c r="G29" s="414"/>
      <c r="H29" s="473">
        <f t="shared" si="3"/>
        <v>0</v>
      </c>
      <c r="I29" s="413"/>
      <c r="J29" s="414"/>
      <c r="K29" s="414"/>
      <c r="L29" s="476"/>
      <c r="M29" s="414"/>
      <c r="N29" s="409">
        <f t="shared" si="4"/>
        <v>0</v>
      </c>
      <c r="O29" s="412" t="str">
        <f t="shared" si="2"/>
        <v xml:space="preserve"> </v>
      </c>
    </row>
    <row r="30" spans="2:15" ht="15" customHeight="1" x14ac:dyDescent="0.2">
      <c r="B30" s="415"/>
      <c r="C30" s="416"/>
      <c r="D30" s="414"/>
      <c r="E30" s="414"/>
      <c r="F30" s="414"/>
      <c r="G30" s="414"/>
      <c r="H30" s="473">
        <f t="shared" si="3"/>
        <v>0</v>
      </c>
      <c r="I30" s="413"/>
      <c r="J30" s="414"/>
      <c r="K30" s="414"/>
      <c r="L30" s="476"/>
      <c r="M30" s="414"/>
      <c r="N30" s="409">
        <f t="shared" si="4"/>
        <v>0</v>
      </c>
      <c r="O30" s="412" t="str">
        <f t="shared" si="2"/>
        <v xml:space="preserve"> </v>
      </c>
    </row>
    <row r="31" spans="2:15" ht="15" customHeight="1" x14ac:dyDescent="0.2">
      <c r="B31" s="415"/>
      <c r="C31" s="416"/>
      <c r="D31" s="414"/>
      <c r="E31" s="414"/>
      <c r="F31" s="414"/>
      <c r="G31" s="414"/>
      <c r="H31" s="473">
        <f t="shared" si="3"/>
        <v>0</v>
      </c>
      <c r="I31" s="413"/>
      <c r="J31" s="414"/>
      <c r="K31" s="414"/>
      <c r="L31" s="476"/>
      <c r="M31" s="414"/>
      <c r="N31" s="409">
        <f t="shared" si="4"/>
        <v>0</v>
      </c>
      <c r="O31" s="412" t="str">
        <f t="shared" si="2"/>
        <v xml:space="preserve"> </v>
      </c>
    </row>
    <row r="32" spans="2:15" ht="15" customHeight="1" x14ac:dyDescent="0.2">
      <c r="B32" s="415"/>
      <c r="C32" s="416"/>
      <c r="D32" s="414"/>
      <c r="E32" s="414"/>
      <c r="F32" s="414"/>
      <c r="G32" s="414"/>
      <c r="H32" s="474">
        <f t="shared" si="3"/>
        <v>0</v>
      </c>
      <c r="I32" s="475"/>
      <c r="J32" s="417"/>
      <c r="K32" s="414"/>
      <c r="L32" s="477"/>
      <c r="M32" s="414"/>
      <c r="N32" s="409">
        <f t="shared" si="4"/>
        <v>0</v>
      </c>
      <c r="O32" s="412" t="str">
        <f t="shared" si="2"/>
        <v xml:space="preserve"> </v>
      </c>
    </row>
    <row r="33" spans="2:15" ht="15" customHeight="1" x14ac:dyDescent="0.2">
      <c r="B33" s="415"/>
      <c r="C33" s="416"/>
      <c r="D33" s="414"/>
      <c r="E33" s="414"/>
      <c r="F33" s="414"/>
      <c r="G33" s="414"/>
      <c r="H33" s="474">
        <f t="shared" si="3"/>
        <v>0</v>
      </c>
      <c r="I33" s="475"/>
      <c r="J33" s="417"/>
      <c r="K33" s="417"/>
      <c r="L33" s="477"/>
      <c r="M33" s="414"/>
      <c r="N33" s="409">
        <f t="shared" si="4"/>
        <v>0</v>
      </c>
      <c r="O33" s="412" t="str">
        <f t="shared" si="2"/>
        <v xml:space="preserve"> </v>
      </c>
    </row>
    <row r="34" spans="2:15" ht="15" customHeight="1" x14ac:dyDescent="0.2">
      <c r="B34" s="415"/>
      <c r="C34" s="416"/>
      <c r="D34" s="414"/>
      <c r="E34" s="414"/>
      <c r="F34" s="414"/>
      <c r="G34" s="414"/>
      <c r="H34" s="472">
        <f t="shared" si="3"/>
        <v>0</v>
      </c>
      <c r="I34" s="413"/>
      <c r="J34" s="414"/>
      <c r="K34" s="417"/>
      <c r="L34" s="476"/>
      <c r="M34" s="414"/>
      <c r="N34" s="409">
        <f t="shared" si="4"/>
        <v>0</v>
      </c>
      <c r="O34" s="412" t="str">
        <f t="shared" si="2"/>
        <v xml:space="preserve"> </v>
      </c>
    </row>
    <row r="35" spans="2:15" ht="15" customHeight="1" x14ac:dyDescent="0.2">
      <c r="B35" s="415"/>
      <c r="C35" s="416"/>
      <c r="D35" s="414"/>
      <c r="E35" s="414"/>
      <c r="F35" s="414"/>
      <c r="G35" s="414"/>
      <c r="H35" s="409">
        <f t="shared" si="3"/>
        <v>0</v>
      </c>
      <c r="I35" s="413"/>
      <c r="J35" s="414"/>
      <c r="K35" s="414"/>
      <c r="L35" s="414"/>
      <c r="M35" s="414"/>
      <c r="N35" s="409">
        <f t="shared" si="4"/>
        <v>0</v>
      </c>
      <c r="O35" s="412" t="str">
        <f t="shared" si="2"/>
        <v xml:space="preserve"> </v>
      </c>
    </row>
    <row r="36" spans="2:15" ht="15" customHeight="1" x14ac:dyDescent="0.2">
      <c r="B36" s="415"/>
      <c r="C36" s="416"/>
      <c r="D36" s="414"/>
      <c r="E36" s="414"/>
      <c r="F36" s="414"/>
      <c r="G36" s="414"/>
      <c r="H36" s="409">
        <f t="shared" si="3"/>
        <v>0</v>
      </c>
      <c r="I36" s="413"/>
      <c r="J36" s="414"/>
      <c r="K36" s="414"/>
      <c r="L36" s="414"/>
      <c r="M36" s="414"/>
      <c r="N36" s="409">
        <f t="shared" si="4"/>
        <v>0</v>
      </c>
      <c r="O36" s="412" t="str">
        <f t="shared" si="2"/>
        <v xml:space="preserve"> </v>
      </c>
    </row>
    <row r="37" spans="2:15" ht="15" customHeight="1" x14ac:dyDescent="0.2">
      <c r="B37" s="415"/>
      <c r="C37" s="422"/>
      <c r="D37" s="417"/>
      <c r="E37" s="417"/>
      <c r="F37" s="417"/>
      <c r="G37" s="417"/>
      <c r="H37" s="418">
        <f t="shared" si="3"/>
        <v>0</v>
      </c>
      <c r="I37" s="417"/>
      <c r="J37" s="417"/>
      <c r="K37" s="417"/>
      <c r="L37" s="417"/>
      <c r="M37" s="417"/>
      <c r="N37" s="418">
        <f t="shared" si="4"/>
        <v>0</v>
      </c>
      <c r="O37" s="423" t="str">
        <f t="shared" si="2"/>
        <v xml:space="preserve"> </v>
      </c>
    </row>
    <row r="38" spans="2:15" ht="15" x14ac:dyDescent="0.25">
      <c r="B38" s="424" t="s">
        <v>7</v>
      </c>
      <c r="C38" s="425">
        <f t="shared" ref="C38:N38" si="5">SUM(C9:C37)</f>
        <v>334</v>
      </c>
      <c r="D38" s="419">
        <f>ROUND(SUM(D9:D37),2)</f>
        <v>12459969.029999999</v>
      </c>
      <c r="E38" s="419">
        <f>ROUND(SUM(E9:E37),2)</f>
        <v>1547026.28</v>
      </c>
      <c r="F38" s="419">
        <f t="shared" si="5"/>
        <v>0</v>
      </c>
      <c r="G38" s="419">
        <f>ROUND(SUM(G9:G37),2)</f>
        <v>4687779.16</v>
      </c>
      <c r="H38" s="420">
        <f>ROUND(SUM(H9:H37),2)</f>
        <v>18694774.469999999</v>
      </c>
      <c r="I38" s="421">
        <f t="shared" si="5"/>
        <v>327</v>
      </c>
      <c r="J38" s="426">
        <f t="shared" si="5"/>
        <v>12109424.979999999</v>
      </c>
      <c r="K38" s="426">
        <f t="shared" si="5"/>
        <v>1450099.4500000002</v>
      </c>
      <c r="L38" s="426">
        <f t="shared" si="5"/>
        <v>0</v>
      </c>
      <c r="M38" s="426">
        <f t="shared" si="5"/>
        <v>4209195.67</v>
      </c>
      <c r="N38" s="420">
        <f t="shared" si="5"/>
        <v>17768720.100000001</v>
      </c>
      <c r="O38" s="427">
        <f t="shared" si="2"/>
        <v>5.211711168774591E-2</v>
      </c>
    </row>
    <row r="39" spans="2:15" ht="15.75" x14ac:dyDescent="0.25">
      <c r="B39" s="428"/>
      <c r="C39" s="429" t="s">
        <v>429</v>
      </c>
      <c r="D39" s="430"/>
      <c r="E39" s="430"/>
      <c r="F39" s="430"/>
      <c r="G39" s="430"/>
      <c r="H39" s="431">
        <v>656590.05000000005</v>
      </c>
      <c r="I39" s="432" t="s">
        <v>429</v>
      </c>
      <c r="J39" s="430"/>
      <c r="K39" s="433"/>
      <c r="L39" s="434"/>
      <c r="M39" s="434"/>
      <c r="N39" s="431">
        <v>571800</v>
      </c>
      <c r="O39" s="435">
        <f>IF(H39=0," ",(H39/N39)-1)</f>
        <v>0.14828620146904514</v>
      </c>
    </row>
    <row r="40" spans="2:15" ht="15.75" x14ac:dyDescent="0.25">
      <c r="B40" s="436"/>
      <c r="C40" s="364"/>
      <c r="D40" s="364"/>
      <c r="E40" s="364"/>
      <c r="F40" s="364"/>
      <c r="G40" s="364"/>
      <c r="H40" s="437"/>
      <c r="I40" s="363"/>
      <c r="J40" s="438"/>
      <c r="K40" s="364"/>
      <c r="L40" s="363"/>
      <c r="M40" s="439"/>
      <c r="N40" s="440"/>
      <c r="O40" s="441"/>
    </row>
    <row r="41" spans="2:15" ht="18.75" thickBot="1" x14ac:dyDescent="0.3">
      <c r="B41" s="442" t="s">
        <v>7</v>
      </c>
      <c r="C41" s="443"/>
      <c r="D41" s="444"/>
      <c r="E41" s="444"/>
      <c r="F41" s="444"/>
      <c r="G41" s="445"/>
      <c r="H41" s="446">
        <f>H38+H39</f>
        <v>19351364.52</v>
      </c>
      <c r="I41" s="447"/>
      <c r="J41" s="448"/>
      <c r="K41" s="448"/>
      <c r="L41" s="448"/>
      <c r="M41" s="449"/>
      <c r="N41" s="446">
        <f>N38+N39</f>
        <v>18340520.100000001</v>
      </c>
      <c r="O41" s="450">
        <f>IF(H41=0," ",(H41/N41)-1)</f>
        <v>5.5115362840773452E-2</v>
      </c>
    </row>
    <row r="42" spans="2:15" x14ac:dyDescent="0.2">
      <c r="D42" s="365"/>
      <c r="H42" s="365"/>
      <c r="N42" s="365"/>
    </row>
    <row r="43" spans="2:15" x14ac:dyDescent="0.2">
      <c r="B43" s="451" t="s">
        <v>430</v>
      </c>
      <c r="C43" s="451"/>
      <c r="D43" s="451"/>
      <c r="E43" s="451"/>
      <c r="F43" s="451"/>
      <c r="G43" s="451"/>
      <c r="H43" s="451"/>
      <c r="I43" s="451"/>
      <c r="J43" s="470"/>
    </row>
    <row r="44" spans="2:15" x14ac:dyDescent="0.2">
      <c r="B44" s="362" t="s">
        <v>431</v>
      </c>
    </row>
    <row r="45" spans="2:15" x14ac:dyDescent="0.2">
      <c r="B45" s="362" t="s">
        <v>432</v>
      </c>
    </row>
    <row r="46" spans="2:15" ht="14.25" x14ac:dyDescent="0.2">
      <c r="H46" s="452"/>
      <c r="N46" s="453"/>
    </row>
    <row r="47" spans="2:15" ht="15" hidden="1" x14ac:dyDescent="0.2">
      <c r="B47" s="454" t="s">
        <v>235</v>
      </c>
    </row>
    <row r="48" spans="2:15" hidden="1" x14ac:dyDescent="0.2">
      <c r="B48" s="455" t="s">
        <v>456</v>
      </c>
      <c r="C48" s="456"/>
      <c r="D48" s="456"/>
      <c r="E48" s="456"/>
      <c r="F48" s="456"/>
      <c r="G48" s="457"/>
    </row>
    <row r="49" spans="2:7" hidden="1" x14ac:dyDescent="0.2">
      <c r="B49" s="458" t="s">
        <v>457</v>
      </c>
      <c r="C49" s="459"/>
      <c r="D49" s="459"/>
      <c r="E49" s="459"/>
      <c r="F49" s="459"/>
      <c r="G49" s="460"/>
    </row>
    <row r="50" spans="2:7" x14ac:dyDescent="0.2">
      <c r="G50" s="365"/>
    </row>
    <row r="51" spans="2:7" x14ac:dyDescent="0.2">
      <c r="G51" s="365"/>
    </row>
  </sheetData>
  <mergeCells count="2">
    <mergeCell ref="D7:H7"/>
    <mergeCell ref="J7:N7"/>
  </mergeCells>
  <conditionalFormatting sqref="H46">
    <cfRule type="cellIs" dxfId="1" priority="1" stopIfTrue="1" operator="notEqual">
      <formula>$H$41</formula>
    </cfRule>
  </conditionalFormatting>
  <conditionalFormatting sqref="N46">
    <cfRule type="cellIs" dxfId="0" priority="2" stopIfTrue="1" operator="notEqual">
      <formula>$N$41</formula>
    </cfRule>
  </conditionalFormatting>
  <pageMargins left="1.0629921259842521" right="0.74803149606299213" top="0.78740157480314965" bottom="0.98425196850393704" header="0" footer="0.39370078740157483"/>
  <pageSetup paperSize="8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26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C829C1-50F4-40C3-BB6C-AFCF8B9E1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5E7B7-D4F3-417F-856E-3C1BA3D45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8C7705-0FDF-4738-801C-051E50E7FFD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AE969A1-5B82-4B57-A119-14386DEDFD08}">
  <ds:schemaRefs>
    <ds:schemaRef ds:uri="e4b73361-b4d4-4302-9756-11c2890942a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RESUMEN</vt:lpstr>
      <vt:lpstr>RATIOS</vt:lpstr>
      <vt:lpstr>PRESUPUESTO</vt:lpstr>
      <vt:lpstr>Notas aclaratorias</vt:lpstr>
      <vt:lpstr>CAMBIOS CIERRE CUENTAS ANUALES</vt:lpstr>
      <vt:lpstr>BAL</vt:lpstr>
      <vt:lpstr>PyG</vt:lpstr>
      <vt:lpstr>EFE</vt:lpstr>
      <vt:lpstr>PAIF</vt:lpstr>
      <vt:lpstr>PERSONAL</vt:lpstr>
      <vt:lpstr>BAL!Área_de_impresión</vt:lpstr>
      <vt:lpstr>EFE!Área_de_impresión</vt:lpstr>
      <vt:lpstr>PAIF!Área_de_impresión</vt:lpstr>
      <vt:lpstr>PERSONAL!Área_de_impresión</vt:lpstr>
      <vt:lpstr>PRESUPUESTO!Área_de_impresión</vt:lpstr>
      <vt:lpstr>PyG!Área_de_impresión</vt:lpstr>
      <vt:lpstr>RATIOS!Área_de_impresión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Ricardo López Fidalgo</cp:lastModifiedBy>
  <cp:lastPrinted>2023-09-21T09:01:15Z</cp:lastPrinted>
  <dcterms:created xsi:type="dcterms:W3CDTF">2004-05-21T11:51:19Z</dcterms:created>
  <dcterms:modified xsi:type="dcterms:W3CDTF">2025-02-12T11:46:32Z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PALABRA CLAVE">
    <vt:lpwstr/>
  </property>
</Properties>
</file>