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7520"/>
  </bookViews>
  <sheets>
    <sheet name="BALANCE" sheetId="1" r:id="rId1"/>
    <sheet name="PyG" sheetId="2" r:id="rId2"/>
    <sheet name="EFE" sheetId="3" r:id="rId3"/>
    <sheet name="PERSONAL" sheetId="4" r:id="rId4"/>
    <sheet name="PAIF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5" l="1"/>
  <c r="D45" i="5"/>
  <c r="C45" i="5"/>
  <c r="I40" i="5"/>
  <c r="H40" i="5"/>
  <c r="G40" i="5"/>
  <c r="E40" i="5"/>
  <c r="D40" i="5"/>
  <c r="C40" i="5"/>
  <c r="I35" i="5"/>
  <c r="H35" i="5"/>
  <c r="G35" i="5"/>
  <c r="I31" i="5"/>
  <c r="I30" i="5" s="1"/>
  <c r="H31" i="5"/>
  <c r="H30" i="5" s="1"/>
  <c r="G31" i="5"/>
  <c r="G30" i="5" s="1"/>
  <c r="E27" i="5"/>
  <c r="D27" i="5"/>
  <c r="C27" i="5"/>
  <c r="I26" i="5"/>
  <c r="H26" i="5"/>
  <c r="G26" i="5"/>
  <c r="E24" i="5"/>
  <c r="D24" i="5"/>
  <c r="C24" i="5"/>
  <c r="G12" i="5"/>
  <c r="E18" i="5"/>
  <c r="D18" i="5"/>
  <c r="C18" i="5"/>
  <c r="C12" i="5" s="1"/>
  <c r="E13" i="5"/>
  <c r="D13" i="5"/>
  <c r="D12" i="5" s="1"/>
  <c r="D49" i="5" s="1"/>
  <c r="C13" i="5"/>
  <c r="O33" i="4"/>
  <c r="M32" i="4"/>
  <c r="L32" i="4"/>
  <c r="K32" i="4"/>
  <c r="J32" i="4"/>
  <c r="I32" i="4"/>
  <c r="G32" i="4"/>
  <c r="F32" i="4"/>
  <c r="E32" i="4"/>
  <c r="D32" i="4"/>
  <c r="C32" i="4"/>
  <c r="N31" i="4"/>
  <c r="H31" i="4"/>
  <c r="O31" i="4" s="1"/>
  <c r="N30" i="4"/>
  <c r="H30" i="4"/>
  <c r="O30" i="4" s="1"/>
  <c r="N29" i="4"/>
  <c r="H29" i="4"/>
  <c r="O29" i="4" s="1"/>
  <c r="N28" i="4"/>
  <c r="H28" i="4"/>
  <c r="O28" i="4" s="1"/>
  <c r="N27" i="4"/>
  <c r="H27" i="4"/>
  <c r="O27" i="4" s="1"/>
  <c r="N26" i="4"/>
  <c r="H26" i="4"/>
  <c r="O26" i="4" s="1"/>
  <c r="N25" i="4"/>
  <c r="H25" i="4"/>
  <c r="O25" i="4" s="1"/>
  <c r="N24" i="4"/>
  <c r="H24" i="4"/>
  <c r="O24" i="4" s="1"/>
  <c r="N23" i="4"/>
  <c r="H23" i="4"/>
  <c r="O23" i="4" s="1"/>
  <c r="N22" i="4"/>
  <c r="H22" i="4"/>
  <c r="N21" i="4"/>
  <c r="H21" i="4"/>
  <c r="N20" i="4"/>
  <c r="H20" i="4"/>
  <c r="O20" i="4" s="1"/>
  <c r="N19" i="4"/>
  <c r="O19" i="4" s="1"/>
  <c r="H19" i="4"/>
  <c r="N18" i="4"/>
  <c r="H18" i="4"/>
  <c r="N17" i="4"/>
  <c r="O17" i="4" s="1"/>
  <c r="H17" i="4"/>
  <c r="N16" i="4"/>
  <c r="H16" i="4"/>
  <c r="N15" i="4"/>
  <c r="O15" i="4" s="1"/>
  <c r="H15" i="4"/>
  <c r="N14" i="4"/>
  <c r="O14" i="4" s="1"/>
  <c r="H14" i="4"/>
  <c r="N13" i="4"/>
  <c r="O13" i="4" s="1"/>
  <c r="H13" i="4"/>
  <c r="N12" i="4"/>
  <c r="H12" i="4"/>
  <c r="O12" i="4" s="1"/>
  <c r="N11" i="4"/>
  <c r="H11" i="4"/>
  <c r="H32" i="4" s="1"/>
  <c r="H35" i="4" s="1"/>
  <c r="C69" i="3"/>
  <c r="C65" i="3"/>
  <c r="C61" i="3"/>
  <c r="C60" i="3"/>
  <c r="D72" i="3"/>
  <c r="C56" i="3"/>
  <c r="C72" i="3" s="1"/>
  <c r="C46" i="3"/>
  <c r="E53" i="3"/>
  <c r="D53" i="3"/>
  <c r="C39" i="3"/>
  <c r="C53" i="3" s="1"/>
  <c r="E36" i="3"/>
  <c r="D36" i="3"/>
  <c r="C36" i="3"/>
  <c r="C76" i="3" s="1"/>
  <c r="G92" i="2"/>
  <c r="F92" i="2"/>
  <c r="E92" i="2"/>
  <c r="D92" i="2"/>
  <c r="D87" i="2"/>
  <c r="D82" i="2"/>
  <c r="F81" i="2"/>
  <c r="D80" i="2"/>
  <c r="D79" i="2"/>
  <c r="G76" i="2"/>
  <c r="F76" i="2"/>
  <c r="E76" i="2"/>
  <c r="D76" i="2"/>
  <c r="G72" i="2"/>
  <c r="F72" i="2"/>
  <c r="E72" i="2"/>
  <c r="D72" i="2"/>
  <c r="G68" i="2"/>
  <c r="F68" i="2"/>
  <c r="E68" i="2"/>
  <c r="D68" i="2"/>
  <c r="G64" i="2"/>
  <c r="F64" i="2"/>
  <c r="F60" i="2" s="1"/>
  <c r="F79" i="2" s="1"/>
  <c r="E64" i="2"/>
  <c r="D64" i="2"/>
  <c r="G61" i="2"/>
  <c r="F61" i="2"/>
  <c r="E61" i="2"/>
  <c r="E60" i="2" s="1"/>
  <c r="E79" i="2" s="1"/>
  <c r="D61" i="2"/>
  <c r="G60" i="2"/>
  <c r="G79" i="2" s="1"/>
  <c r="D60" i="2"/>
  <c r="D59" i="2"/>
  <c r="G56" i="2"/>
  <c r="F56" i="2"/>
  <c r="E56" i="2"/>
  <c r="D56" i="2"/>
  <c r="G53" i="2"/>
  <c r="F53" i="2"/>
  <c r="E53" i="2"/>
  <c r="D53" i="2"/>
  <c r="E48" i="2"/>
  <c r="G47" i="2"/>
  <c r="F47" i="2"/>
  <c r="E47" i="2"/>
  <c r="D47" i="2"/>
  <c r="E44" i="2"/>
  <c r="E43" i="2"/>
  <c r="G42" i="2"/>
  <c r="F42" i="2"/>
  <c r="E42" i="2"/>
  <c r="D42" i="2"/>
  <c r="G38" i="2"/>
  <c r="F38" i="2"/>
  <c r="E38" i="2"/>
  <c r="D38" i="2"/>
  <c r="E35" i="2"/>
  <c r="G34" i="2"/>
  <c r="F34" i="2"/>
  <c r="E34" i="2"/>
  <c r="D34" i="2"/>
  <c r="E30" i="2"/>
  <c r="G29" i="2"/>
  <c r="F29" i="2"/>
  <c r="E29" i="2"/>
  <c r="D29" i="2"/>
  <c r="E28" i="2"/>
  <c r="G20" i="2"/>
  <c r="F20" i="2"/>
  <c r="F14" i="2" s="1"/>
  <c r="F59" i="2" s="1"/>
  <c r="E20" i="2"/>
  <c r="D20" i="2"/>
  <c r="G15" i="2"/>
  <c r="G14" i="2" s="1"/>
  <c r="G59" i="2" s="1"/>
  <c r="G80" i="2" s="1"/>
  <c r="G82" i="2" s="1"/>
  <c r="G87" i="2" s="1"/>
  <c r="F15" i="2"/>
  <c r="E15" i="2"/>
  <c r="D15" i="2"/>
  <c r="E14" i="2"/>
  <c r="E59" i="2" s="1"/>
  <c r="D14" i="2"/>
  <c r="I68" i="1"/>
  <c r="J65" i="1"/>
  <c r="J63" i="1"/>
  <c r="I62" i="1"/>
  <c r="H62" i="1"/>
  <c r="G62" i="1"/>
  <c r="E61" i="1"/>
  <c r="E60" i="1" s="1"/>
  <c r="D61" i="1"/>
  <c r="D60" i="1"/>
  <c r="C60" i="1"/>
  <c r="B60" i="1"/>
  <c r="J56" i="1"/>
  <c r="I56" i="1"/>
  <c r="H56" i="1"/>
  <c r="H53" i="1" s="1"/>
  <c r="G56" i="1"/>
  <c r="G53" i="1" s="1"/>
  <c r="I53" i="1"/>
  <c r="E52" i="1"/>
  <c r="D52" i="1"/>
  <c r="C52" i="1"/>
  <c r="B52" i="1"/>
  <c r="I50" i="1"/>
  <c r="J50" i="1" s="1"/>
  <c r="D47" i="1"/>
  <c r="E46" i="1"/>
  <c r="E44" i="1" s="1"/>
  <c r="D46" i="1"/>
  <c r="D44" i="1" s="1"/>
  <c r="J44" i="1"/>
  <c r="I44" i="1"/>
  <c r="H44" i="1"/>
  <c r="H38" i="1" s="1"/>
  <c r="G44" i="1"/>
  <c r="C44" i="1"/>
  <c r="B44" i="1"/>
  <c r="J39" i="1"/>
  <c r="I39" i="1"/>
  <c r="H39" i="1"/>
  <c r="G39" i="1"/>
  <c r="E37" i="1"/>
  <c r="D37" i="1"/>
  <c r="C37" i="1"/>
  <c r="C35" i="1" s="1"/>
  <c r="B37" i="1"/>
  <c r="B35" i="1" s="1"/>
  <c r="I33" i="1"/>
  <c r="H33" i="1"/>
  <c r="G33" i="1"/>
  <c r="E33" i="1"/>
  <c r="D32" i="1"/>
  <c r="D26" i="1" s="1"/>
  <c r="I28" i="1"/>
  <c r="H28" i="1"/>
  <c r="G28" i="1"/>
  <c r="C26" i="1"/>
  <c r="B26" i="1"/>
  <c r="E23" i="1"/>
  <c r="D23" i="1"/>
  <c r="C23" i="1"/>
  <c r="B23" i="1"/>
  <c r="I21" i="1"/>
  <c r="H21" i="1"/>
  <c r="H13" i="1" s="1"/>
  <c r="G21" i="1"/>
  <c r="E19" i="1"/>
  <c r="D19" i="1"/>
  <c r="C19" i="1"/>
  <c r="B19" i="1"/>
  <c r="I18" i="1"/>
  <c r="H18" i="1"/>
  <c r="G18" i="1"/>
  <c r="J14" i="1"/>
  <c r="I14" i="1"/>
  <c r="H14" i="1"/>
  <c r="G14" i="1"/>
  <c r="E13" i="1"/>
  <c r="D13" i="1"/>
  <c r="C13" i="1"/>
  <c r="C12" i="1" s="1"/>
  <c r="B13" i="1"/>
  <c r="B12" i="1" s="1"/>
  <c r="J10" i="1"/>
  <c r="I10" i="1"/>
  <c r="H10" i="1"/>
  <c r="G10" i="1"/>
  <c r="I9" i="1"/>
  <c r="G9" i="1"/>
  <c r="O21" i="4" l="1"/>
  <c r="O16" i="4"/>
  <c r="O18" i="4"/>
  <c r="H12" i="5"/>
  <c r="H49" i="5" s="1"/>
  <c r="D51" i="5" s="1"/>
  <c r="E12" i="5"/>
  <c r="E49" i="5" s="1"/>
  <c r="C49" i="5"/>
  <c r="G49" i="5"/>
  <c r="I12" i="5"/>
  <c r="I49" i="5" s="1"/>
  <c r="N32" i="4"/>
  <c r="N35" i="4"/>
  <c r="O35" i="4" s="1"/>
  <c r="O32" i="4"/>
  <c r="O11" i="4"/>
  <c r="E72" i="3"/>
  <c r="E76" i="3" s="1"/>
  <c r="D76" i="3"/>
  <c r="F80" i="2"/>
  <c r="F82" i="2" s="1"/>
  <c r="F87" i="2" s="1"/>
  <c r="E80" i="2"/>
  <c r="E82" i="2" s="1"/>
  <c r="E87" i="2" s="1"/>
  <c r="J62" i="1"/>
  <c r="J53" i="1" s="1"/>
  <c r="I13" i="1"/>
  <c r="I12" i="1" s="1"/>
  <c r="I72" i="1" s="1"/>
  <c r="B72" i="1"/>
  <c r="C72" i="1"/>
  <c r="G38" i="1"/>
  <c r="D12" i="1"/>
  <c r="I38" i="1"/>
  <c r="J38" i="1"/>
  <c r="J18" i="1"/>
  <c r="J13" i="1" s="1"/>
  <c r="E35" i="1"/>
  <c r="H12" i="1"/>
  <c r="G13" i="1"/>
  <c r="G12" i="1" s="1"/>
  <c r="H72" i="1"/>
  <c r="D35" i="1"/>
  <c r="D72" i="1" s="1"/>
  <c r="G72" i="1"/>
  <c r="E32" i="1"/>
  <c r="E26" i="1" s="1"/>
  <c r="E12" i="1" s="1"/>
  <c r="J33" i="1"/>
  <c r="G51" i="5" l="1"/>
  <c r="C51" i="5"/>
  <c r="E51" i="5"/>
  <c r="I51" i="5"/>
  <c r="J12" i="1"/>
  <c r="J72" i="1" s="1"/>
  <c r="E72" i="1"/>
  <c r="H51" i="5"/>
</calcChain>
</file>

<file path=xl/sharedStrings.xml><?xml version="1.0" encoding="utf-8"?>
<sst xmlns="http://schemas.openxmlformats.org/spreadsheetml/2006/main" count="391" uniqueCount="343">
  <si>
    <t>BALANCE DE SITUACIÓN</t>
  </si>
  <si>
    <t>SOCIEDAD: EMPRESA MUNICIPAL DE LA VIVIENDA Y SUELO DE MADRID S.A.</t>
  </si>
  <si>
    <t>ACTIVO</t>
  </si>
  <si>
    <t>REAL</t>
  </si>
  <si>
    <t>PRESUPUESTO</t>
  </si>
  <si>
    <t>PREVISIÓN CIERRE</t>
  </si>
  <si>
    <t>PATRIMONIO NETO Y PASIVO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</si>
  <si>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</si>
  <si>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</si>
  <si>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</si>
  <si>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</si>
  <si>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</si>
  <si>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</si>
  <si>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</si>
  <si>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</si>
  <si>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</si>
  <si>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</si>
  <si>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</si>
  <si>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</si>
  <si>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</si>
  <si>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</si>
  <si>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</si>
  <si>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</si>
  <si>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</si>
  <si>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</si>
  <si>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</si>
  <si>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</si>
  <si>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</si>
  <si>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</si>
  <si>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</si>
  <si>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</si>
  <si>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</si>
  <si>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</si>
  <si>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</si>
  <si>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</si>
  <si>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</si>
  <si>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</si>
  <si>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</si>
  <si>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</si>
  <si>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</si>
  <si>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</si>
  <si>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</si>
  <si>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</si>
  <si>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</si>
  <si>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</si>
  <si>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</si>
  <si>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</si>
  <si>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</si>
  <si>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</si>
  <si>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</si>
  <si>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</si>
  <si>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</si>
  <si>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</si>
  <si>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</si>
  <si>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</si>
  <si>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</si>
  <si>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</si>
  <si>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 xml:space="preserve">               2. Materias primas y otros aprovisionamientos</t>
  </si>
  <si>
    <t xml:space="preserve">      I. Provisiones a largo plazo</t>
  </si>
  <si>
    <t xml:space="preserve">               3. Productos en curso</t>
  </si>
  <si>
    <t xml:space="preserve">          1. Obligaciones por prestaciones a LP al personal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</si>
  <si>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</si>
  <si>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</si>
  <si>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</si>
  <si>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</si>
  <si>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</si>
  <si>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</si>
  <si>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</si>
  <si>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</si>
  <si>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</si>
  <si>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</si>
  <si>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</si>
  <si>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</si>
  <si>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</si>
  <si>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</si>
  <si>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</si>
  <si>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</si>
  <si>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</si>
  <si>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</si>
  <si>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</si>
  <si>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</si>
  <si>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</si>
  <si>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</si>
  <si>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</si>
  <si>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</si>
  <si>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</si>
  <si>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</si>
  <si>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</si>
  <si>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</si>
  <si>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</si>
  <si>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</si>
  <si>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</si>
  <si>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</si>
  <si>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</si>
  <si>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</si>
  <si>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</si>
  <si>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</si>
  <si>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</si>
  <si>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</si>
  <si>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</si>
  <si>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</si>
  <si>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</si>
  <si>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</si>
  <si>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</si>
  <si>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</si>
  <si>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</si>
  <si>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</si>
  <si>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</si>
  <si>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</t>
  </si>
  <si>
    <t xml:space="preserve">                  Arrendamientos</t>
  </si>
  <si>
    <t xml:space="preserve">                  Ventas de suelo Ayuntamiento</t>
  </si>
  <si>
    <t xml:space="preserve">                  Otras ventas edificios y suelos</t>
  </si>
  <si>
    <t xml:space="preserve">             b) Prestaciones de servicios</t>
  </si>
  <si>
    <t>OFICINA VERDE</t>
  </si>
  <si>
    <t>PLAN MADRE 2018-2021</t>
  </si>
  <si>
    <t>Adenda Encargo para finalizar expedientes 2013-2016</t>
  </si>
  <si>
    <t>OTROS ENCOMIENDAS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</si>
  <si>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</si>
  <si>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</si>
  <si>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</si>
  <si>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</si>
  <si>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</si>
  <si>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</si>
  <si>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</si>
  <si>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</si>
  <si>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</si>
  <si>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</si>
  <si>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</si>
  <si>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</si>
  <si>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</si>
  <si>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</si>
  <si>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</si>
  <si>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</si>
  <si>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</si>
  <si>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</si>
  <si>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</si>
  <si>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</si>
  <si>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</si>
  <si>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</si>
  <si>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</si>
  <si>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</si>
  <si>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</si>
  <si>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 plieitos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</si>
  <si>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</si>
  <si>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</si>
  <si>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</si>
  <si>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</si>
  <si>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</si>
  <si>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</si>
  <si>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</si>
  <si>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</si>
  <si>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</si>
  <si>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</si>
  <si>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</si>
  <si>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</si>
  <si>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</si>
  <si>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</si>
  <si>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</si>
  <si>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</si>
  <si>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</si>
  <si>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</si>
  <si>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</si>
  <si>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</si>
  <si>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</si>
  <si>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</si>
  <si>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</si>
  <si>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</si>
  <si>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</si>
  <si>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</si>
  <si>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</si>
  <si>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</si>
  <si>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</si>
  <si>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</si>
  <si>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</si>
  <si>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</si>
  <si>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</si>
  <si>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</si>
  <si>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</si>
  <si>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</si>
  <si>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</si>
  <si>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A) FLUJOS DE EFECTIVO DE LAS ACTIV. DE EXPLOTACION</t>
  </si>
  <si>
    <t xml:space="preserve">   1. Resultado del ejercicio antes de impuestos</t>
  </si>
  <si>
    <t xml:space="preserve">   2. Ajustes del resultado</t>
  </si>
  <si>
    <t xml:space="preserve">       a) Amortización del inmovilizado</t>
  </si>
  <si>
    <t xml:space="preserve">       b) Correcciones valorativas por deterioro</t>
  </si>
  <si>
    <t xml:space="preserve">       c) Variación de provisiones</t>
  </si>
  <si>
    <t xml:space="preserve">       d) Imputación de subvenciones</t>
  </si>
  <si>
    <t xml:space="preserve">       e) Resultados por bajas y enajenaciones del inmovilizado</t>
  </si>
  <si>
    <t xml:space="preserve">       f) Resultados por bajas y enajenaciones de instrumentos financieros</t>
  </si>
  <si>
    <t xml:space="preserve">       g) Ingresos financieros</t>
  </si>
  <si>
    <t xml:space="preserve">       h) Gastos financieros</t>
  </si>
  <si>
    <t xml:space="preserve">       i) Diferencias de cambio</t>
  </si>
  <si>
    <t xml:space="preserve">       j) Variación de valor razonable en instrumentos financieros</t>
  </si>
  <si>
    <t xml:space="preserve">       k) Otros ingresos y gastos</t>
  </si>
  <si>
    <t xml:space="preserve">   3.Cambios en el capital corriente</t>
  </si>
  <si>
    <t xml:space="preserve">       a) Existencias</t>
  </si>
  <si>
    <t xml:space="preserve">       b) Deudores y otras cuentas a cobrar</t>
  </si>
  <si>
    <t xml:space="preserve">       c) Otros activos corrientes</t>
  </si>
  <si>
    <t xml:space="preserve">       d) Acreedores y otras cuentas a pagar</t>
  </si>
  <si>
    <t xml:space="preserve">       e) Otros pasivos corrientes</t>
  </si>
  <si>
    <t xml:space="preserve">        f) Otros activos y pasivos no corrientes</t>
  </si>
  <si>
    <t xml:space="preserve">   4. Otros flujos de efectivo de las actividades de explotación</t>
  </si>
  <si>
    <t xml:space="preserve">       a) Pagos de intereses </t>
  </si>
  <si>
    <t xml:space="preserve">       b) Cobros de dividendos</t>
  </si>
  <si>
    <t xml:space="preserve">       c)Cobros de intereses</t>
  </si>
  <si>
    <t xml:space="preserve">       d) Pagos o cobros por impuesto sobre beneficios</t>
  </si>
  <si>
    <t xml:space="preserve">       e) Otros pagos o cobros</t>
  </si>
  <si>
    <t xml:space="preserve">   5. Flujos de efectivo de las actividades de explotación (1+2+3+4)</t>
  </si>
  <si>
    <t>B) FLUJOS DE EFECTIVO DE LAS ACTIV. DE INVERSION</t>
  </si>
  <si>
    <t xml:space="preserve">   6. Pagos por inversiones</t>
  </si>
  <si>
    <t xml:space="preserve">       a) Inmovilizado intangible</t>
  </si>
  <si>
    <t xml:space="preserve">       b) Inmovilizado material</t>
  </si>
  <si>
    <t xml:space="preserve">       c) Inversiones inmobiliarias</t>
  </si>
  <si>
    <t xml:space="preserve">       d) Otros activos financieros</t>
  </si>
  <si>
    <t xml:space="preserve">       e) Activos no corrientes mantenidos para venta</t>
  </si>
  <si>
    <t xml:space="preserve">       f) Otros activos</t>
  </si>
  <si>
    <t xml:space="preserve">   7. Cobros por desinversiones</t>
  </si>
  <si>
    <t xml:space="preserve">  8. Flujos de efectivo de las actividades de inversión (6+7)</t>
  </si>
  <si>
    <t>C) FLUJOS DE EFECTIVO DE LAS ACTIV. DE FINANCIACION</t>
  </si>
  <si>
    <t xml:space="preserve">   9.Cobros y pagos por instrumentros de patrimonio</t>
  </si>
  <si>
    <t xml:space="preserve">       a) Emisión de instrumentos de patrimonio</t>
  </si>
  <si>
    <t xml:space="preserve">       b) Amortización de instrumentos de patrimonio</t>
  </si>
  <si>
    <t xml:space="preserve">       c) Subvenciones, donaciones y legados recibidos</t>
  </si>
  <si>
    <t xml:space="preserve">   10. Cobros y pagos por instrumentos de pasivo financiero</t>
  </si>
  <si>
    <t xml:space="preserve">       a) Emisión</t>
  </si>
  <si>
    <t xml:space="preserve">            1. Deudas con entidades de crédito</t>
  </si>
  <si>
    <t xml:space="preserve">            2. Deudas con el Ayuntamiento, OOAA y Empr. Municipales</t>
  </si>
  <si>
    <t xml:space="preserve">            3. Otras deudas</t>
  </si>
  <si>
    <t xml:space="preserve">       b) Devolución y amortización de</t>
  </si>
  <si>
    <t xml:space="preserve">   11. Pagos por dividendos y remun. de otros instr. de patrimonio</t>
  </si>
  <si>
    <t xml:space="preserve">       a) Dividendos</t>
  </si>
  <si>
    <t xml:space="preserve">       b) Remuneración de otros instrumentos de patrimonio</t>
  </si>
  <si>
    <t xml:space="preserve">  12. Flujos de efectivo de las actividades de financiación (9+10+11)</t>
  </si>
  <si>
    <t>D) EFECTO DE LAS VARIACIONES DE LOS TIPOS DE CAMBIO</t>
  </si>
  <si>
    <t>E) AUMENTO / DISMINUCION NETA DEL EFECTIVO
 O EQUIVALENTES   (5+8+12+D)</t>
  </si>
  <si>
    <t>Efectivo o equvalentes al comienzo del ejercicio</t>
  </si>
  <si>
    <t>Efectivo o equvalentes al final del ejercicio</t>
  </si>
  <si>
    <t>PERSONAL AL SERVICIO DE LA EMPRESA</t>
  </si>
  <si>
    <t>E - P20 - 05</t>
  </si>
  <si>
    <t>PERSONAL (A)</t>
  </si>
  <si>
    <t>Nº TOTAL(B)</t>
  </si>
  <si>
    <t>COSTE PRESUPUESTO AÑO 2023</t>
  </si>
  <si>
    <t>COSTE ESTIMADO AÑO 2022</t>
  </si>
  <si>
    <t>(1)/(2)</t>
  </si>
  <si>
    <t>(Clasificado por categorías profesionales)</t>
  </si>
  <si>
    <t>PREV. 2019</t>
  </si>
  <si>
    <t>REMUN. INTEGRAS(C)</t>
  </si>
  <si>
    <t>ANTIGÜEDAD</t>
  </si>
  <si>
    <t>HORAS EXT.</t>
  </si>
  <si>
    <t>SEG. SOCIAL</t>
  </si>
  <si>
    <t>TOTAL COSTE(1)</t>
  </si>
  <si>
    <t>ESTIM 2021</t>
  </si>
  <si>
    <t>TOTAL COSTE(2)</t>
  </si>
  <si>
    <t>%</t>
  </si>
  <si>
    <t>Consejero y Gerente</t>
  </si>
  <si>
    <t>Grupo 0. Nivel 1 (Director)</t>
  </si>
  <si>
    <t>Grupo 1. Nivel 2 (Jefe Departamento)</t>
  </si>
  <si>
    <t>Grupo 1. Nivel 3. (Jefe Sección)</t>
  </si>
  <si>
    <t>Grupo 1. Nivel 4. (Técnico Superior)</t>
  </si>
  <si>
    <t>Grupo 1. Nivel 5. (Técnico Grado Medio)</t>
  </si>
  <si>
    <t>Grupo 2. Nivel 6. (Técnico Gestión)</t>
  </si>
  <si>
    <t>Grupo 2. Nivel 7.1. (Técnico Administrativo)</t>
  </si>
  <si>
    <t>Grupo 2. Nivel 7. (Administrativo)</t>
  </si>
  <si>
    <t>Grupo 2. Nivel 8.(Aux. Administrativo)</t>
  </si>
  <si>
    <t>-</t>
  </si>
  <si>
    <t>Grupo 3. Nivel 9. (Conserje)</t>
  </si>
  <si>
    <t>Grupo 4. Nivel 10. (Inspector)</t>
  </si>
  <si>
    <t>TOTAL</t>
  </si>
  <si>
    <t>Coste de complementos de pensiones y otras cargas sociales:</t>
  </si>
  <si>
    <t>(A). Personal clasificado por categorias profesionales según Convenio. Además se incluiran las categorias necesarias para reflejar el personal fuera de Convenio.</t>
  </si>
  <si>
    <t>(B). Plantilla media, se calculará ponderando los períodos de contratación de los trabajadores.Se incluye personal alta dirección.</t>
  </si>
  <si>
    <t>(C). Por todos los conceptos, salvo antigüedad, complementos de pensiones, horas extras y Seguridad Social.</t>
  </si>
  <si>
    <t>PRESUPUESTO DE CAPITAL. PROGRAMA ANUAL DE ACTUACIONES, INVERSIONES Y FINANCIACIÓN (PAIF)</t>
  </si>
  <si>
    <t>APLICACIÓN DE FONDOS</t>
  </si>
  <si>
    <t>ORIGEN DE FONDOS</t>
  </si>
  <si>
    <t>1.ADQUISICIONES DE INMOVILIZADO</t>
  </si>
  <si>
    <t>1.AUTOFINANCIACIÓN</t>
  </si>
  <si>
    <t xml:space="preserve">    1.1.Inmovilizado intangible</t>
  </si>
  <si>
    <t xml:space="preserve">   1.1.Resultados del ejercicio</t>
  </si>
  <si>
    <t xml:space="preserve">          1.1.a).Gastos de Investigación y desarrollo</t>
  </si>
  <si>
    <t xml:space="preserve">   1.2.Amortización del inmovilizado</t>
  </si>
  <si>
    <t xml:space="preserve">          1.1.b).Propiedad Industrial</t>
  </si>
  <si>
    <t xml:space="preserve">   1.3.Correcciones valorativas por deterioro</t>
  </si>
  <si>
    <t xml:space="preserve">          1.1.c).Aplicaciones informáticas</t>
  </si>
  <si>
    <t xml:space="preserve">   1.4. Variación de provisiones</t>
  </si>
  <si>
    <t xml:space="preserve">          1.1.d).Otro inmovilizado inmaterial</t>
  </si>
  <si>
    <t xml:space="preserve">   1.5.Imputación de subvenciones</t>
  </si>
  <si>
    <t xml:space="preserve">    1.2.Inmovilizado material</t>
  </si>
  <si>
    <t xml:space="preserve">   1.6.Resultados por bajas y enajenaciones del inmovilizado</t>
  </si>
  <si>
    <t xml:space="preserve">          2.2.a).Terrenos y construcciones</t>
  </si>
  <si>
    <t xml:space="preserve">   1.7.Resultados por bajas y enajenaciones de instrumentos financieros</t>
  </si>
  <si>
    <t xml:space="preserve">          2.2.b).Instalaciones técnicas y maquinaria</t>
  </si>
  <si>
    <t xml:space="preserve">   1.8.Diferencias de cambio</t>
  </si>
  <si>
    <t xml:space="preserve">          2.2.c).Otras instalaciones,utillaje y mobiliario</t>
  </si>
  <si>
    <t xml:space="preserve">   1.9.Variación de valor razonable en instrumentos financieros</t>
  </si>
  <si>
    <t xml:space="preserve">          2.2.d).Anticipos e inmovilizado en curso</t>
  </si>
  <si>
    <t xml:space="preserve">   1.10.Variación de existencias</t>
  </si>
  <si>
    <t xml:space="preserve">          2.2.e).Otro inmovilizado material</t>
  </si>
  <si>
    <t xml:space="preserve">   1.11.Ajuste por impuesto sobre beneficios</t>
  </si>
  <si>
    <t xml:space="preserve">    1.3.Inversiones inmobiliarias</t>
  </si>
  <si>
    <t xml:space="preserve">   1.12.Otros ingresos y gastos</t>
  </si>
  <si>
    <t xml:space="preserve">          1.3.a).Terrenos</t>
  </si>
  <si>
    <t xml:space="preserve">          1.3.b).Construcciones</t>
  </si>
  <si>
    <t>2.APORTACIONES DE CAPITAL</t>
  </si>
  <si>
    <t xml:space="preserve">    1.4.Inversiones financieras.</t>
  </si>
  <si>
    <t xml:space="preserve">    2.1. Del Ayuntamiento de Madrid</t>
  </si>
  <si>
    <t xml:space="preserve">          1.4.a). Instrumentos de patrimonio</t>
  </si>
  <si>
    <t xml:space="preserve">    2.2. De otros accionistas</t>
  </si>
  <si>
    <t xml:space="preserve">          1.4.b). Créditos a terceros</t>
  </si>
  <si>
    <t xml:space="preserve">          1.4.c). Valores representativos de deuda</t>
  </si>
  <si>
    <t>3.SUBVENCIONES DE CAPITAL</t>
  </si>
  <si>
    <t xml:space="preserve">          1.4.d). Derivados</t>
  </si>
  <si>
    <t xml:space="preserve">    3.1.Del Ayuntamiento</t>
  </si>
  <si>
    <t xml:space="preserve">          1.4.e). Inv.financ. en Empresas Municipales, OOAA y Ayto</t>
  </si>
  <si>
    <t xml:space="preserve">    3.2.De otros</t>
  </si>
  <si>
    <t xml:space="preserve">          1.4.f). Otros activos financieros</t>
  </si>
  <si>
    <t xml:space="preserve">    3.3.Adscripción de bienes</t>
  </si>
  <si>
    <t>4.FINANCIACIÓN AJENA A LARGO PLAZO</t>
  </si>
  <si>
    <t>2.REDUCCIÓN DE CAPITAL</t>
  </si>
  <si>
    <t xml:space="preserve">    4.1.Deudas con entidades de crédito</t>
  </si>
  <si>
    <t xml:space="preserve">    4.2.Deuda con el Ayuntamiento, OOAA y Empr.Municipales</t>
  </si>
  <si>
    <t>3.DIVIDENDOS</t>
  </si>
  <si>
    <t xml:space="preserve">    4.3.Otras deudas a l.pl.</t>
  </si>
  <si>
    <t>4.AMORTIZACIÓN DE DEUDA</t>
  </si>
  <si>
    <t>5.ENAJENACIÓN DE INMOVILIZADO</t>
  </si>
  <si>
    <t xml:space="preserve">    5.1.Inmovilizado intangible</t>
  </si>
  <si>
    <t xml:space="preserve">    4.2.Deuda con el Ayuntamiento, OOAA y Empr..Municipales</t>
  </si>
  <si>
    <t xml:space="preserve">    5.2.Inmovilizado material</t>
  </si>
  <si>
    <t xml:space="preserve">    4.3.Otras deudas</t>
  </si>
  <si>
    <t xml:space="preserve">    5.3. Inversiones inmobiliarias</t>
  </si>
  <si>
    <t xml:space="preserve">    5.4. Inversiones financieras</t>
  </si>
  <si>
    <t>5.APLICACION PROVISION (PAGOS)</t>
  </si>
  <si>
    <t xml:space="preserve">    5.5. Activos no corrientes matenidos para venta (no financieros)</t>
  </si>
  <si>
    <t xml:space="preserve">     5.1 Aplicaciones (pagos) provisiones de personal</t>
  </si>
  <si>
    <t xml:space="preserve">    5.6. Activos no corrientes matenidos para venta (financieros)</t>
  </si>
  <si>
    <t xml:space="preserve">     5.2 Aplicaciones (pagos) resto de provisiones</t>
  </si>
  <si>
    <t>TOTAL APLICACIONES</t>
  </si>
  <si>
    <t>TOTAL ORÍGENES</t>
  </si>
  <si>
    <t>EXCESO DE ORÍGENES</t>
  </si>
  <si>
    <t>EXCESO DE APLICACIONES</t>
  </si>
  <si>
    <t>ESTADO DE FLUJOS DE EFECTIVO</t>
  </si>
  <si>
    <t xml:space="preserve">SECCION: </t>
  </si>
  <si>
    <t>SOCIEDAD: EMPRESA MUNICIPAL DE LA VIVIENDA Y SUELO DE MADRID,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</si>
</sst>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18">
    <font>
      <sz val="11"/>
      <color theme="1"/>
      <name val="Aptos Narrow"/>
      <family val="2"/>
      <scheme val="minor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u/>
      <sz val="10"/>
      <name val="Arial Narrow"/>
      <family val="2"/>
    </font>
    <font>
      <b/>
      <sz val="13"/>
      <name val="Arial Narrow"/>
      <family val="2"/>
    </font>
    <font>
      <b/>
      <sz val="10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Fill="0"/>
  </cellStyleXfs>
  <cellXfs count="28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6" fillId="3" borderId="11" xfId="0" applyNumberFormat="1" applyFont="1" applyFill="1" applyBorder="1" applyAlignment="1" applyProtection="1">
      <alignment vertical="center"/>
      <protection locked="0"/>
    </xf>
    <xf numFmtId="4" fontId="6" fillId="3" borderId="12" xfId="0" applyNumberFormat="1" applyFont="1" applyFill="1" applyBorder="1" applyAlignment="1" applyProtection="1">
      <alignment vertical="center"/>
      <protection locked="0"/>
    </xf>
    <xf numFmtId="3" fontId="7" fillId="0" borderId="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3" borderId="0" xfId="0" applyNumberFormat="1" applyFont="1" applyFill="1" applyAlignment="1" applyProtection="1">
      <alignment vertical="center"/>
      <protection locked="0"/>
    </xf>
    <xf numFmtId="0" fontId="7" fillId="0" borderId="9" xfId="0" applyFont="1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3" borderId="10" xfId="0" applyFont="1" applyFill="1" applyBorder="1" applyAlignment="1" applyProtection="1">
      <alignment vertical="center"/>
      <protection locked="0"/>
    </xf>
    <xf numFmtId="3" fontId="0" fillId="0" borderId="0" xfId="0" applyNumberFormat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4" fontId="6" fillId="0" borderId="23" xfId="0" applyNumberFormat="1" applyFont="1" applyBorder="1" applyAlignment="1">
      <alignment vertical="center"/>
    </xf>
    <xf numFmtId="4" fontId="6" fillId="3" borderId="23" xfId="0" applyNumberFormat="1" applyFont="1" applyFill="1" applyBorder="1" applyAlignment="1" applyProtection="1">
      <alignment vertical="center"/>
      <protection locked="0"/>
    </xf>
    <xf numFmtId="0" fontId="7" fillId="0" borderId="24" xfId="0" applyFont="1" applyBorder="1" applyAlignment="1">
      <alignment vertical="center"/>
    </xf>
    <xf numFmtId="4" fontId="10" fillId="0" borderId="25" xfId="0" applyNumberFormat="1" applyFont="1" applyBorder="1" applyAlignment="1">
      <alignment vertical="center"/>
    </xf>
    <xf numFmtId="4" fontId="10" fillId="0" borderId="26" xfId="0" applyNumberFormat="1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4" fontId="6" fillId="3" borderId="27" xfId="0" applyNumberFormat="1" applyFont="1" applyFill="1" applyBorder="1" applyAlignment="1" applyProtection="1">
      <alignment vertical="center"/>
      <protection locked="0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0" fontId="7" fillId="0" borderId="2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6" fillId="0" borderId="32" xfId="0" applyNumberFormat="1" applyFont="1" applyBorder="1" applyAlignment="1">
      <alignment vertical="center"/>
    </xf>
    <xf numFmtId="4" fontId="0" fillId="0" borderId="0" xfId="0" applyNumberFormat="1" applyAlignment="1">
      <alignment horizontal="left" vertical="center"/>
    </xf>
    <xf numFmtId="4" fontId="0" fillId="0" borderId="29" xfId="0" applyNumberFormat="1" applyBorder="1" applyAlignment="1">
      <alignment horizontal="left" vertical="center"/>
    </xf>
    <xf numFmtId="4" fontId="6" fillId="3" borderId="13" xfId="0" applyNumberFormat="1" applyFont="1" applyFill="1" applyBorder="1" applyAlignment="1" applyProtection="1">
      <alignment vertical="center"/>
      <protection locked="0"/>
    </xf>
    <xf numFmtId="4" fontId="6" fillId="3" borderId="33" xfId="0" applyNumberFormat="1" applyFont="1" applyFill="1" applyBorder="1" applyAlignment="1" applyProtection="1">
      <alignment vertical="center"/>
      <protection locked="0"/>
    </xf>
    <xf numFmtId="3" fontId="6" fillId="0" borderId="35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vertical="center"/>
    </xf>
    <xf numFmtId="4" fontId="6" fillId="0" borderId="27" xfId="0" applyNumberFormat="1" applyFont="1" applyBorder="1" applyAlignment="1">
      <alignment vertical="center"/>
    </xf>
    <xf numFmtId="4" fontId="6" fillId="0" borderId="37" xfId="0" applyNumberFormat="1" applyFont="1" applyBorder="1" applyAlignment="1">
      <alignment vertical="center"/>
    </xf>
    <xf numFmtId="4" fontId="6" fillId="0" borderId="38" xfId="0" applyNumberFormat="1" applyFont="1" applyBorder="1" applyAlignment="1">
      <alignment vertical="center"/>
    </xf>
    <xf numFmtId="4" fontId="10" fillId="0" borderId="39" xfId="0" applyNumberFormat="1" applyFont="1" applyBorder="1" applyAlignment="1">
      <alignment vertical="center"/>
    </xf>
    <xf numFmtId="4" fontId="10" fillId="0" borderId="40" xfId="0" applyNumberFormat="1" applyFont="1" applyBorder="1" applyAlignment="1">
      <alignment vertical="center"/>
    </xf>
    <xf numFmtId="3" fontId="6" fillId="0" borderId="37" xfId="0" applyNumberFormat="1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3" fontId="6" fillId="0" borderId="35" xfId="0" applyNumberFormat="1" applyFont="1" applyBorder="1" applyAlignment="1">
      <alignment vertical="center"/>
    </xf>
    <xf numFmtId="4" fontId="6" fillId="0" borderId="41" xfId="0" applyNumberFormat="1" applyFont="1" applyBorder="1" applyAlignment="1">
      <alignment vertical="center"/>
    </xf>
    <xf numFmtId="0" fontId="12" fillId="0" borderId="28" xfId="0" applyFont="1" applyBorder="1" applyAlignment="1">
      <alignment vertical="center" wrapText="1"/>
    </xf>
    <xf numFmtId="0" fontId="9" fillId="0" borderId="42" xfId="0" applyFont="1" applyBorder="1" applyAlignment="1">
      <alignment vertical="center"/>
    </xf>
    <xf numFmtId="0" fontId="1" fillId="0" borderId="0" xfId="1" applyFont="1"/>
    <xf numFmtId="0" fontId="3" fillId="0" borderId="0" xfId="1"/>
    <xf numFmtId="0" fontId="2" fillId="0" borderId="0" xfId="1" applyFont="1"/>
    <xf numFmtId="0" fontId="1" fillId="0" borderId="44" xfId="1" applyFont="1" applyBorder="1" applyAlignment="1">
      <alignment horizontal="center"/>
    </xf>
    <xf numFmtId="0" fontId="8" fillId="0" borderId="45" xfId="1" applyFont="1" applyBorder="1"/>
    <xf numFmtId="0" fontId="3" fillId="0" borderId="45" xfId="1" applyBorder="1"/>
    <xf numFmtId="0" fontId="4" fillId="0" borderId="45" xfId="1" applyFont="1" applyBorder="1"/>
    <xf numFmtId="0" fontId="8" fillId="2" borderId="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1" fillId="2" borderId="49" xfId="1" applyFont="1" applyFill="1" applyBorder="1" applyAlignment="1">
      <alignment horizontal="center"/>
    </xf>
    <xf numFmtId="0" fontId="8" fillId="2" borderId="50" xfId="1" applyFont="1" applyFill="1" applyBorder="1" applyAlignment="1">
      <alignment horizontal="center"/>
    </xf>
    <xf numFmtId="0" fontId="8" fillId="2" borderId="51" xfId="1" applyFont="1" applyFill="1" applyBorder="1" applyAlignment="1">
      <alignment horizontal="center"/>
    </xf>
    <xf numFmtId="0" fontId="8" fillId="2" borderId="52" xfId="1" applyFont="1" applyFill="1" applyBorder="1" applyAlignment="1">
      <alignment horizontal="center"/>
    </xf>
    <xf numFmtId="0" fontId="8" fillId="2" borderId="40" xfId="1" applyFont="1" applyFill="1" applyBorder="1" applyAlignment="1">
      <alignment horizontal="center"/>
    </xf>
    <xf numFmtId="0" fontId="8" fillId="2" borderId="53" xfId="1" applyFont="1" applyFill="1" applyBorder="1" applyAlignment="1">
      <alignment horizontal="center"/>
    </xf>
    <xf numFmtId="0" fontId="1" fillId="2" borderId="22" xfId="1" applyFont="1" applyFill="1" applyBorder="1" applyAlignment="1">
      <alignment horizontal="center"/>
    </xf>
    <xf numFmtId="0" fontId="3" fillId="0" borderId="54" xfId="1" applyBorder="1"/>
    <xf numFmtId="3" fontId="6" fillId="3" borderId="11" xfId="1" applyNumberFormat="1" applyFont="1" applyFill="1" applyBorder="1" applyProtection="1">
      <protection locked="0"/>
    </xf>
    <xf numFmtId="4" fontId="6" fillId="3" borderId="11" xfId="1" applyNumberFormat="1" applyFont="1" applyFill="1" applyBorder="1" applyProtection="1">
      <protection locked="0"/>
    </xf>
    <xf numFmtId="4" fontId="6" fillId="0" borderId="55" xfId="1" applyNumberFormat="1" applyFont="1" applyFill="1" applyBorder="1"/>
    <xf numFmtId="4" fontId="6" fillId="0" borderId="12" xfId="1" applyNumberFormat="1" applyFont="1" applyFill="1" applyBorder="1"/>
    <xf numFmtId="10" fontId="6" fillId="0" borderId="55" xfId="1" applyNumberFormat="1" applyFont="1" applyFill="1" applyBorder="1"/>
    <xf numFmtId="0" fontId="3" fillId="0" borderId="15" xfId="1" applyBorder="1"/>
    <xf numFmtId="10" fontId="6" fillId="0" borderId="12" xfId="1" applyNumberFormat="1" applyFont="1" applyFill="1" applyBorder="1"/>
    <xf numFmtId="0" fontId="6" fillId="0" borderId="9" xfId="1" applyFont="1" applyFill="1" applyBorder="1" applyProtection="1">
      <protection locked="0"/>
    </xf>
    <xf numFmtId="3" fontId="6" fillId="0" borderId="11" xfId="1" applyNumberFormat="1" applyFont="1" applyFill="1" applyBorder="1" applyProtection="1">
      <protection locked="0"/>
    </xf>
    <xf numFmtId="4" fontId="6" fillId="0" borderId="11" xfId="1" applyNumberFormat="1" applyFont="1" applyFill="1" applyBorder="1" applyProtection="1">
      <protection locked="0"/>
    </xf>
    <xf numFmtId="4" fontId="6" fillId="0" borderId="15" xfId="1" applyNumberFormat="1" applyFont="1" applyFill="1" applyBorder="1" applyProtection="1">
      <protection locked="0"/>
    </xf>
    <xf numFmtId="4" fontId="6" fillId="0" borderId="56" xfId="1" applyNumberFormat="1" applyFont="1" applyFill="1" applyBorder="1"/>
    <xf numFmtId="4" fontId="6" fillId="0" borderId="26" xfId="1" applyNumberFormat="1" applyFont="1" applyFill="1" applyBorder="1"/>
    <xf numFmtId="3" fontId="6" fillId="0" borderId="57" xfId="1" applyNumberFormat="1" applyFont="1" applyFill="1" applyBorder="1"/>
    <xf numFmtId="3" fontId="6" fillId="0" borderId="53" xfId="1" applyNumberFormat="1" applyFont="1" applyFill="1" applyBorder="1" applyProtection="1">
      <protection locked="0"/>
    </xf>
    <xf numFmtId="10" fontId="6" fillId="0" borderId="56" xfId="1" applyNumberFormat="1" applyFont="1" applyFill="1" applyBorder="1"/>
    <xf numFmtId="0" fontId="10" fillId="0" borderId="28" xfId="1" applyFont="1" applyFill="1" applyBorder="1"/>
    <xf numFmtId="3" fontId="6" fillId="0" borderId="39" xfId="1" applyNumberFormat="1" applyFont="1" applyFill="1" applyBorder="1"/>
    <xf numFmtId="4" fontId="6" fillId="0" borderId="25" xfId="1" applyNumberFormat="1" applyFont="1" applyFill="1" applyBorder="1"/>
    <xf numFmtId="10" fontId="6" fillId="0" borderId="40" xfId="1" applyNumberFormat="1" applyFont="1" applyFill="1" applyBorder="1"/>
    <xf numFmtId="0" fontId="3" fillId="0" borderId="28" xfId="1" applyFill="1" applyBorder="1"/>
    <xf numFmtId="0" fontId="1" fillId="0" borderId="52" xfId="1" applyFont="1" applyFill="1" applyBorder="1"/>
    <xf numFmtId="0" fontId="3" fillId="0" borderId="52" xfId="1" applyFill="1" applyBorder="1"/>
    <xf numFmtId="4" fontId="6" fillId="0" borderId="26" xfId="1" applyNumberFormat="1" applyFont="1" applyFill="1" applyBorder="1" applyProtection="1">
      <protection locked="0"/>
    </xf>
    <xf numFmtId="0" fontId="3" fillId="0" borderId="57" xfId="1" applyFill="1" applyBorder="1"/>
    <xf numFmtId="0" fontId="4" fillId="0" borderId="25" xfId="1" applyFont="1" applyFill="1" applyBorder="1"/>
    <xf numFmtId="10" fontId="6" fillId="0" borderId="26" xfId="1" applyNumberFormat="1" applyFont="1" applyFill="1" applyBorder="1"/>
    <xf numFmtId="0" fontId="3" fillId="0" borderId="24" xfId="1" applyFill="1" applyBorder="1"/>
    <xf numFmtId="0" fontId="3" fillId="0" borderId="0" xfId="1" applyFill="1" applyProtection="1">
      <protection locked="0"/>
    </xf>
    <xf numFmtId="0" fontId="4" fillId="0" borderId="40" xfId="1" applyFont="1" applyFill="1" applyBorder="1"/>
    <xf numFmtId="0" fontId="4" fillId="0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0" fontId="4" fillId="0" borderId="52" xfId="1" applyFont="1" applyFill="1" applyBorder="1" applyProtection="1">
      <protection locked="0"/>
    </xf>
    <xf numFmtId="0" fontId="4" fillId="0" borderId="41" xfId="1" applyFont="1" applyFill="1" applyBorder="1"/>
    <xf numFmtId="10" fontId="15" fillId="0" borderId="26" xfId="1" applyNumberFormat="1" applyFont="1" applyFill="1" applyBorder="1"/>
    <xf numFmtId="0" fontId="2" fillId="0" borderId="58" xfId="1" applyFont="1" applyFill="1" applyBorder="1"/>
    <xf numFmtId="0" fontId="2" fillId="0" borderId="59" xfId="1" applyFont="1" applyFill="1" applyBorder="1" applyProtection="1">
      <protection locked="0"/>
    </xf>
    <xf numFmtId="3" fontId="2" fillId="0" borderId="59" xfId="1" applyNumberFormat="1" applyFont="1" applyFill="1" applyBorder="1" applyProtection="1">
      <protection locked="0"/>
    </xf>
    <xf numFmtId="3" fontId="2" fillId="0" borderId="60" xfId="1" applyNumberFormat="1" applyFont="1" applyFill="1" applyBorder="1" applyProtection="1">
      <protection locked="0"/>
    </xf>
    <xf numFmtId="4" fontId="5" fillId="0" borderId="61" xfId="1" applyNumberFormat="1" applyFont="1" applyFill="1" applyBorder="1"/>
    <xf numFmtId="3" fontId="4" fillId="0" borderId="59" xfId="1" applyNumberFormat="1" applyFont="1" applyFill="1" applyBorder="1" applyProtection="1">
      <protection locked="0"/>
    </xf>
    <xf numFmtId="3" fontId="4" fillId="0" borderId="60" xfId="1" applyNumberFormat="1" applyFont="1" applyFill="1" applyBorder="1" applyProtection="1">
      <protection locked="0"/>
    </xf>
    <xf numFmtId="10" fontId="16" fillId="0" borderId="62" xfId="1" applyNumberFormat="1" applyFont="1" applyFill="1" applyBorder="1"/>
    <xf numFmtId="0" fontId="3" fillId="0" borderId="0" xfId="1" applyFill="1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1" fillId="4" borderId="10" xfId="0" applyFont="1" applyFill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0" fontId="1" fillId="0" borderId="10" xfId="0" applyFont="1" applyBorder="1"/>
    <xf numFmtId="4" fontId="5" fillId="0" borderId="11" xfId="0" applyNumberFormat="1" applyFont="1" applyBorder="1"/>
    <xf numFmtId="4" fontId="1" fillId="0" borderId="29" xfId="0" applyNumberFormat="1" applyFont="1" applyBorder="1"/>
    <xf numFmtId="4" fontId="5" fillId="0" borderId="12" xfId="0" applyNumberFormat="1" applyFont="1" applyBorder="1"/>
    <xf numFmtId="0" fontId="4" fillId="0" borderId="10" xfId="0" applyFont="1" applyBorder="1"/>
    <xf numFmtId="4" fontId="6" fillId="0" borderId="11" xfId="0" applyNumberFormat="1" applyFont="1" applyBorder="1"/>
    <xf numFmtId="4" fontId="4" fillId="0" borderId="0" xfId="0" applyNumberFormat="1" applyFont="1"/>
    <xf numFmtId="4" fontId="6" fillId="3" borderId="11" xfId="0" applyNumberFormat="1" applyFont="1" applyFill="1" applyBorder="1" applyProtection="1">
      <protection locked="0"/>
    </xf>
    <xf numFmtId="4" fontId="6" fillId="0" borderId="12" xfId="0" applyNumberFormat="1" applyFont="1" applyBorder="1"/>
    <xf numFmtId="4" fontId="0" fillId="0" borderId="11" xfId="0" applyNumberFormat="1" applyBorder="1"/>
    <xf numFmtId="4" fontId="6" fillId="3" borderId="12" xfId="0" applyNumberFormat="1" applyFont="1" applyFill="1" applyBorder="1" applyProtection="1">
      <protection locked="0"/>
    </xf>
    <xf numFmtId="4" fontId="1" fillId="0" borderId="0" xfId="0" applyNumberFormat="1" applyFont="1"/>
    <xf numFmtId="4" fontId="10" fillId="0" borderId="11" xfId="0" applyNumberFormat="1" applyFont="1" applyBorder="1"/>
    <xf numFmtId="0" fontId="4" fillId="0" borderId="9" xfId="0" applyFont="1" applyBorder="1"/>
    <xf numFmtId="0" fontId="1" fillId="0" borderId="9" xfId="0" applyFont="1" applyBorder="1"/>
    <xf numFmtId="4" fontId="5" fillId="3" borderId="11" xfId="0" applyNumberFormat="1" applyFont="1" applyFill="1" applyBorder="1" applyProtection="1">
      <protection locked="0"/>
    </xf>
    <xf numFmtId="4" fontId="16" fillId="3" borderId="23" xfId="0" applyNumberFormat="1" applyFont="1" applyFill="1" applyBorder="1" applyProtection="1">
      <protection locked="0"/>
    </xf>
    <xf numFmtId="4" fontId="6" fillId="0" borderId="34" xfId="0" applyNumberFormat="1" applyFont="1" applyBorder="1"/>
    <xf numFmtId="4" fontId="6" fillId="0" borderId="5" xfId="0" applyNumberFormat="1" applyFont="1" applyBorder="1"/>
    <xf numFmtId="4" fontId="8" fillId="0" borderId="63" xfId="0" applyNumberFormat="1" applyFont="1" applyBorder="1"/>
    <xf numFmtId="4" fontId="6" fillId="0" borderId="15" xfId="0" applyNumberFormat="1" applyFont="1" applyBorder="1"/>
    <xf numFmtId="0" fontId="2" fillId="0" borderId="65" xfId="0" applyFont="1" applyBorder="1"/>
    <xf numFmtId="4" fontId="5" fillId="0" borderId="66" xfId="0" applyNumberFormat="1" applyFont="1" applyBorder="1"/>
    <xf numFmtId="4" fontId="2" fillId="0" borderId="67" xfId="0" applyNumberFormat="1" applyFont="1" applyBorder="1"/>
    <xf numFmtId="4" fontId="5" fillId="0" borderId="68" xfId="0" applyNumberFormat="1" applyFont="1" applyBorder="1"/>
    <xf numFmtId="0" fontId="8" fillId="0" borderId="9" xfId="0" applyFont="1" applyBorder="1"/>
    <xf numFmtId="4" fontId="17" fillId="0" borderId="15" xfId="0" applyNumberFormat="1" applyFont="1" applyBorder="1"/>
    <xf numFmtId="4" fontId="8" fillId="0" borderId="0" xfId="0" applyNumberFormat="1" applyFont="1"/>
    <xf numFmtId="4" fontId="17" fillId="0" borderId="16" xfId="0" applyNumberFormat="1" applyFont="1" applyBorder="1"/>
    <xf numFmtId="0" fontId="1" fillId="0" borderId="69" xfId="0" applyFont="1" applyBorder="1"/>
    <xf numFmtId="4" fontId="14" fillId="0" borderId="70" xfId="0" applyNumberFormat="1" applyFont="1" applyBorder="1"/>
    <xf numFmtId="4" fontId="1" fillId="0" borderId="45" xfId="0" applyNumberFormat="1" applyFont="1" applyBorder="1"/>
    <xf numFmtId="4" fontId="14" fillId="0" borderId="71" xfId="0" applyNumberFormat="1" applyFont="1" applyBorder="1"/>
    <xf numFmtId="3" fontId="6" fillId="0" borderId="73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3" xfId="0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3" fontId="6" fillId="0" borderId="36" xfId="0" applyNumberFormat="1" applyFont="1" applyBorder="1" applyAlignment="1">
      <alignment vertical="center"/>
    </xf>
    <xf numFmtId="4" fontId="5" fillId="0" borderId="27" xfId="0" applyNumberFormat="1" applyFont="1" applyBorder="1" applyAlignment="1">
      <alignment vertical="center"/>
    </xf>
    <xf numFmtId="4" fontId="5" fillId="0" borderId="75" xfId="0" applyNumberFormat="1" applyFont="1" applyBorder="1" applyAlignment="1">
      <alignment vertical="center"/>
    </xf>
    <xf numFmtId="4" fontId="5" fillId="0" borderId="72" xfId="0" applyNumberFormat="1" applyFont="1" applyBorder="1" applyAlignment="1">
      <alignment vertical="center"/>
    </xf>
    <xf numFmtId="4" fontId="6" fillId="0" borderId="77" xfId="0" applyNumberFormat="1" applyFont="1" applyBorder="1" applyAlignment="1">
      <alignment vertical="center"/>
    </xf>
    <xf numFmtId="4" fontId="6" fillId="3" borderId="77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4" fontId="5" fillId="0" borderId="79" xfId="0" applyNumberFormat="1" applyFont="1" applyBorder="1" applyAlignment="1">
      <alignment vertical="center"/>
    </xf>
    <xf numFmtId="14" fontId="10" fillId="2" borderId="21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10" fillId="2" borderId="34" xfId="0" applyNumberFormat="1" applyFont="1" applyFill="1" applyBorder="1" applyAlignment="1">
      <alignment horizontal="center" vertical="center"/>
    </xf>
    <xf numFmtId="164" fontId="10" fillId="2" borderId="74" xfId="0" applyNumberFormat="1" applyFont="1" applyFill="1" applyBorder="1" applyAlignment="1">
      <alignment horizontal="center" vertical="center"/>
    </xf>
    <xf numFmtId="14" fontId="10" fillId="2" borderId="76" xfId="0" applyNumberFormat="1" applyFont="1" applyFill="1" applyBorder="1" applyAlignment="1">
      <alignment horizontal="center" vertical="center"/>
    </xf>
    <xf numFmtId="164" fontId="10" fillId="2" borderId="64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vertical="center"/>
    </xf>
    <xf numFmtId="3" fontId="6" fillId="0" borderId="41" xfId="0" applyNumberFormat="1" applyFont="1" applyBorder="1" applyAlignment="1">
      <alignment vertical="center"/>
    </xf>
    <xf numFmtId="4" fontId="6" fillId="0" borderId="35" xfId="0" applyNumberFormat="1" applyFont="1" applyBorder="1" applyAlignment="1">
      <alignment vertical="center"/>
    </xf>
    <xf numFmtId="4" fontId="6" fillId="3" borderId="35" xfId="0" applyNumberFormat="1" applyFont="1" applyFill="1" applyBorder="1" applyAlignment="1" applyProtection="1">
      <alignment vertical="center"/>
      <protection locked="0"/>
    </xf>
    <xf numFmtId="4" fontId="6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Border="1" applyAlignment="1">
      <alignment vertical="center"/>
    </xf>
    <xf numFmtId="4" fontId="5" fillId="0" borderId="78" xfId="0" applyNumberFormat="1" applyFont="1" applyBorder="1" applyAlignment="1">
      <alignment vertical="center"/>
    </xf>
    <xf numFmtId="3" fontId="6" fillId="0" borderId="36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 applyProtection="1">
      <alignment vertical="center"/>
      <protection locked="0"/>
    </xf>
    <xf numFmtId="4" fontId="6" fillId="0" borderId="15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>
      <alignment vertical="center"/>
    </xf>
    <xf numFmtId="4" fontId="6" fillId="3" borderId="41" xfId="0" applyNumberFormat="1" applyFont="1" applyFill="1" applyBorder="1" applyAlignment="1" applyProtection="1">
      <alignment vertical="center"/>
      <protection locked="0"/>
    </xf>
    <xf numFmtId="4" fontId="5" fillId="0" borderId="81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14" fontId="10" fillId="2" borderId="34" xfId="0" applyNumberFormat="1" applyFont="1" applyFill="1" applyBorder="1" applyAlignment="1">
      <alignment horizontal="center" vertical="center"/>
    </xf>
    <xf numFmtId="14" fontId="10" fillId="2" borderId="22" xfId="0" applyNumberFormat="1" applyFont="1" applyFill="1" applyBorder="1" applyAlignment="1">
      <alignment horizontal="center" vertical="center"/>
    </xf>
    <xf numFmtId="4" fontId="6" fillId="0" borderId="82" xfId="0" applyNumberFormat="1" applyFont="1" applyBorder="1" applyAlignment="1">
      <alignment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49" xfId="0" applyNumberFormat="1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3" fontId="6" fillId="0" borderId="85" xfId="0" applyNumberFormat="1" applyFont="1" applyBorder="1" applyAlignment="1">
      <alignment vertical="center"/>
    </xf>
    <xf numFmtId="4" fontId="6" fillId="0" borderId="85" xfId="0" applyNumberFormat="1" applyFont="1" applyBorder="1" applyAlignment="1">
      <alignment vertical="center"/>
    </xf>
    <xf numFmtId="4" fontId="10" fillId="3" borderId="25" xfId="0" applyNumberFormat="1" applyFont="1" applyFill="1" applyBorder="1" applyAlignment="1" applyProtection="1">
      <alignment vertical="center"/>
      <protection locked="0"/>
    </xf>
    <xf numFmtId="4" fontId="10" fillId="3" borderId="26" xfId="0" applyNumberFormat="1" applyFont="1" applyFill="1" applyBorder="1" applyAlignment="1" applyProtection="1">
      <alignment vertical="center"/>
      <protection locked="0"/>
    </xf>
    <xf numFmtId="4" fontId="14" fillId="0" borderId="25" xfId="0" applyNumberFormat="1" applyFont="1" applyBorder="1" applyAlignment="1">
      <alignment vertical="center"/>
    </xf>
    <xf numFmtId="4" fontId="14" fillId="0" borderId="26" xfId="0" applyNumberFormat="1" applyFont="1" applyBorder="1" applyAlignment="1">
      <alignment vertical="center"/>
    </xf>
    <xf numFmtId="4" fontId="6" fillId="0" borderId="17" xfId="0" applyNumberFormat="1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4" fontId="6" fillId="3" borderId="14" xfId="0" applyNumberFormat="1" applyFont="1" applyFill="1" applyBorder="1" applyAlignment="1" applyProtection="1">
      <alignment vertical="center"/>
      <protection locked="0"/>
    </xf>
    <xf numFmtId="3" fontId="6" fillId="0" borderId="82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4" fontId="5" fillId="3" borderId="12" xfId="0" applyNumberFormat="1" applyFont="1" applyFill="1" applyBorder="1" applyProtection="1">
      <protection locked="0"/>
    </xf>
    <xf numFmtId="4" fontId="16" fillId="3" borderId="12" xfId="0" applyNumberFormat="1" applyFont="1" applyFill="1" applyBorder="1" applyProtection="1">
      <protection locked="0"/>
    </xf>
    <xf numFmtId="4" fontId="6" fillId="0" borderId="22" xfId="0" applyNumberFormat="1" applyFont="1" applyBorder="1"/>
    <xf numFmtId="4" fontId="6" fillId="3" borderId="77" xfId="1" applyNumberFormat="1" applyFont="1" applyFill="1" applyBorder="1" applyProtection="1">
      <protection locked="0"/>
    </xf>
    <xf numFmtId="4" fontId="6" fillId="0" borderId="77" xfId="1" applyNumberFormat="1" applyFont="1" applyFill="1" applyBorder="1" applyProtection="1">
      <protection locked="0"/>
    </xf>
    <xf numFmtId="4" fontId="6" fillId="0" borderId="29" xfId="1" applyNumberFormat="1" applyFont="1" applyFill="1" applyBorder="1" applyProtection="1">
      <protection locked="0"/>
    </xf>
    <xf numFmtId="4" fontId="6" fillId="0" borderId="52" xfId="1" applyNumberFormat="1" applyFont="1" applyFill="1" applyBorder="1"/>
    <xf numFmtId="0" fontId="8" fillId="2" borderId="25" xfId="1" applyFont="1" applyFill="1" applyBorder="1" applyAlignment="1">
      <alignment horizontal="center" wrapText="1"/>
    </xf>
    <xf numFmtId="4" fontId="6" fillId="3" borderId="80" xfId="1" applyNumberFormat="1" applyFont="1" applyFill="1" applyBorder="1" applyProtection="1">
      <protection locked="0"/>
    </xf>
    <xf numFmtId="4" fontId="6" fillId="0" borderId="80" xfId="1" applyNumberFormat="1" applyFont="1" applyFill="1" applyBorder="1" applyProtection="1">
      <protection locked="0"/>
    </xf>
    <xf numFmtId="4" fontId="6" fillId="0" borderId="0" xfId="1" applyNumberFormat="1" applyFont="1" applyFill="1" applyBorder="1" applyProtection="1">
      <protection locked="0"/>
    </xf>
    <xf numFmtId="0" fontId="8" fillId="2" borderId="25" xfId="1" applyFont="1" applyFill="1" applyBorder="1" applyAlignment="1">
      <alignment horizontal="center"/>
    </xf>
    <xf numFmtId="4" fontId="6" fillId="0" borderId="57" xfId="1" applyNumberFormat="1" applyFont="1" applyFill="1" applyBorder="1"/>
    <xf numFmtId="4" fontId="6" fillId="0" borderId="11" xfId="1" applyNumberFormat="1" applyFont="1" applyFill="1" applyBorder="1"/>
    <xf numFmtId="3" fontId="6" fillId="3" borderId="77" xfId="1" applyNumberFormat="1" applyFont="1" applyFill="1" applyBorder="1" applyProtection="1">
      <protection locked="0"/>
    </xf>
    <xf numFmtId="0" fontId="4" fillId="0" borderId="59" xfId="1" applyFont="1" applyFill="1" applyBorder="1" applyProtection="1">
      <protection locked="0"/>
    </xf>
    <xf numFmtId="4" fontId="6" fillId="0" borderId="12" xfId="1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left" vertical="center"/>
    </xf>
    <xf numFmtId="4" fontId="13" fillId="0" borderId="29" xfId="0" applyNumberFormat="1" applyFont="1" applyBorder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29" xfId="0" applyNumberFormat="1" applyBorder="1" applyAlignment="1">
      <alignment horizontal="left" vertical="center"/>
    </xf>
    <xf numFmtId="0" fontId="1" fillId="2" borderId="46" xfId="1" applyFont="1" applyFill="1" applyBorder="1" applyAlignment="1">
      <alignment horizontal="center" vertical="center"/>
    </xf>
    <xf numFmtId="0" fontId="1" fillId="2" borderId="47" xfId="1" applyFont="1" applyFill="1" applyBorder="1" applyAlignment="1">
      <alignment horizontal="center" vertical="center"/>
    </xf>
    <xf numFmtId="0" fontId="1" fillId="2" borderId="48" xfId="1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5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2"/>
  <sheetViews>
    <sheetView tabSelected="1" workbookViewId="0">
      <selection activeCell="A30" sqref="A30"/>
    </sheetView>
  </sheetViews>
  <sheetFormatPr baseColWidth="10" defaultRowHeight="14.25"/>
  <cols>
    <col min="1" max="1" width="73.25" bestFit="1" customWidth="1"/>
    <col min="2" max="3" width="19.125" bestFit="1" customWidth="1"/>
    <col min="4" max="4" width="20.125" customWidth="1"/>
    <col min="5" max="5" width="19.125" bestFit="1" customWidth="1"/>
    <col min="6" max="6" width="49.125" bestFit="1" customWidth="1"/>
    <col min="7" max="8" width="19.125" bestFit="1" customWidth="1"/>
    <col min="9" max="9" width="20" customWidth="1"/>
    <col min="10" max="10" width="19.75" customWidth="1"/>
  </cols>
  <sheetData>
    <row r="4" spans="1:10" ht="18">
      <c r="A4" s="1"/>
      <c r="B4" s="2"/>
      <c r="C4" s="3"/>
      <c r="D4" s="4" t="s">
        <v>0</v>
      </c>
      <c r="E4" s="4"/>
      <c r="F4" s="2"/>
      <c r="G4" s="2"/>
      <c r="H4" s="2"/>
      <c r="I4" s="2"/>
      <c r="J4" s="2"/>
    </row>
    <row r="5" spans="1:10" ht="15.75">
      <c r="A5" s="1"/>
      <c r="B5" s="3"/>
      <c r="C5" s="3"/>
      <c r="D5" s="2"/>
      <c r="E5" s="2"/>
      <c r="F5" s="3"/>
      <c r="G5" s="2"/>
      <c r="H5" s="2"/>
      <c r="I5" s="2"/>
      <c r="J5" s="2"/>
    </row>
    <row r="6" spans="1:10" ht="15.75">
      <c r="A6" s="1"/>
      <c r="B6" s="2"/>
      <c r="C6" s="3"/>
      <c r="D6" s="5"/>
      <c r="E6" s="5"/>
      <c r="F6" s="3"/>
      <c r="G6" s="2"/>
      <c r="H6" s="2"/>
      <c r="I6" s="2"/>
      <c r="J6" s="2"/>
    </row>
    <row r="7" spans="1:10" ht="15.75">
      <c r="A7" s="1" t="s">
        <v>1</v>
      </c>
      <c r="B7" s="2"/>
      <c r="C7" s="3"/>
      <c r="D7" s="3"/>
      <c r="E7" s="3"/>
      <c r="F7" s="3"/>
      <c r="G7" s="2"/>
      <c r="H7" s="2"/>
      <c r="I7" s="2"/>
      <c r="J7" s="2"/>
    </row>
    <row r="8" spans="1:10" ht="16.5" thickBot="1">
      <c r="A8" s="6"/>
      <c r="B8" s="7"/>
      <c r="C8" s="7"/>
      <c r="D8" s="7"/>
      <c r="E8" s="7"/>
      <c r="F8" s="8"/>
      <c r="G8" s="6"/>
      <c r="H8" s="6"/>
      <c r="I8" s="7"/>
      <c r="J8" s="7"/>
    </row>
    <row r="9" spans="1:10" ht="15">
      <c r="A9" s="274" t="s">
        <v>2</v>
      </c>
      <c r="B9" s="208" t="s">
        <v>3</v>
      </c>
      <c r="C9" s="209" t="s">
        <v>4</v>
      </c>
      <c r="D9" s="213" t="s">
        <v>5</v>
      </c>
      <c r="E9" s="217" t="s">
        <v>4</v>
      </c>
      <c r="F9" s="276" t="s">
        <v>6</v>
      </c>
      <c r="G9" s="209" t="str">
        <f>+B9</f>
        <v>REAL</v>
      </c>
      <c r="H9" s="208" t="s">
        <v>4</v>
      </c>
      <c r="I9" s="213" t="str">
        <f>D9</f>
        <v>PREVISIÓN CIERRE</v>
      </c>
      <c r="J9" s="210" t="s">
        <v>4</v>
      </c>
    </row>
    <row r="10" spans="1:10" ht="15.75" thickBot="1">
      <c r="A10" s="275"/>
      <c r="B10" s="215">
        <v>44561</v>
      </c>
      <c r="C10" s="214">
        <v>44926</v>
      </c>
      <c r="D10" s="214">
        <v>44926</v>
      </c>
      <c r="E10" s="218">
        <v>45291</v>
      </c>
      <c r="F10" s="275"/>
      <c r="G10" s="214">
        <f>B10</f>
        <v>44561</v>
      </c>
      <c r="H10" s="215">
        <f>C10</f>
        <v>44926</v>
      </c>
      <c r="I10" s="214">
        <f>D10</f>
        <v>44926</v>
      </c>
      <c r="J10" s="216">
        <f>E10</f>
        <v>45291</v>
      </c>
    </row>
    <row r="11" spans="1:10" ht="15" thickTop="1">
      <c r="A11" s="11"/>
      <c r="B11" s="194"/>
      <c r="C11" s="12"/>
      <c r="D11" s="12"/>
      <c r="E11" s="13"/>
      <c r="F11" s="14"/>
      <c r="G11" s="194"/>
      <c r="H11" s="194"/>
      <c r="I11" s="12"/>
      <c r="J11" s="199"/>
    </row>
    <row r="12" spans="1:10" ht="15.75">
      <c r="A12" s="15" t="s">
        <v>7</v>
      </c>
      <c r="B12" s="195">
        <f>B13+B19+B23+B26+B33</f>
        <v>771499447.09218121</v>
      </c>
      <c r="C12" s="16">
        <f>C13+C19+C23+C26+C33</f>
        <v>865896509.3900001</v>
      </c>
      <c r="D12" s="16">
        <f>D13+D19+D23+D26+D33</f>
        <v>851115074.7355001</v>
      </c>
      <c r="E12" s="200">
        <f>E13+E19+E23+E26+E33</f>
        <v>983211519.30999982</v>
      </c>
      <c r="F12" s="18" t="s">
        <v>8</v>
      </c>
      <c r="G12" s="195">
        <f>G13+G28+G33</f>
        <v>1003651682.14</v>
      </c>
      <c r="H12" s="195">
        <f>H13+H28+H33</f>
        <v>1043481601.6700001</v>
      </c>
      <c r="I12" s="195">
        <f>I13+I28+I33</f>
        <v>1055913219.3199999</v>
      </c>
      <c r="J12" s="17">
        <f>J13+J28+J33</f>
        <v>1126630980.73</v>
      </c>
    </row>
    <row r="13" spans="1:10" ht="16.5">
      <c r="A13" s="19" t="s">
        <v>9</v>
      </c>
      <c r="B13" s="57">
        <f>SUM(B14:B18)</f>
        <v>418798.47</v>
      </c>
      <c r="C13" s="20">
        <f>SUM(C14:C18)</f>
        <v>369616.91</v>
      </c>
      <c r="D13" s="20">
        <f>SUM(D14:D18)</f>
        <v>508798.47</v>
      </c>
      <c r="E13" s="203">
        <f>SUM(E14:E18)</f>
        <v>478798.47</v>
      </c>
      <c r="F13" s="21" t="s">
        <v>10</v>
      </c>
      <c r="G13" s="57">
        <f>G14+G17+G18+G21+G24+G25+G26</f>
        <v>256700238.63</v>
      </c>
      <c r="H13" s="57">
        <f>H14+H17+H18+H21+H24+H25+H26</f>
        <v>250309534.13</v>
      </c>
      <c r="I13" s="57">
        <f>I14+I17+I18+I21+I24+I25+I26</f>
        <v>260573454.81</v>
      </c>
      <c r="J13" s="27">
        <f>J14+J17+J18+J21+J24+J25+J26</f>
        <v>264291216.22</v>
      </c>
    </row>
    <row r="14" spans="1:10" ht="16.5">
      <c r="A14" s="22" t="s">
        <v>11</v>
      </c>
      <c r="B14" s="58"/>
      <c r="C14" s="23"/>
      <c r="D14" s="23"/>
      <c r="E14" s="63"/>
      <c r="F14" s="25" t="s">
        <v>12</v>
      </c>
      <c r="G14" s="57">
        <f>SUM(G15:G16)</f>
        <v>147030142.5</v>
      </c>
      <c r="H14" s="57">
        <f>SUM(H15:H16)</f>
        <v>147030142.5</v>
      </c>
      <c r="I14" s="57">
        <f>SUM(I15:I16)</f>
        <v>147030142.5</v>
      </c>
      <c r="J14" s="27">
        <f>SUM(J15:J16)</f>
        <v>147030142.5</v>
      </c>
    </row>
    <row r="15" spans="1:10">
      <c r="A15" s="22" t="s">
        <v>13</v>
      </c>
      <c r="B15" s="58"/>
      <c r="C15" s="23"/>
      <c r="D15" s="23"/>
      <c r="E15" s="63"/>
      <c r="F15" s="26" t="s">
        <v>14</v>
      </c>
      <c r="G15" s="58">
        <v>147030142.5</v>
      </c>
      <c r="H15" s="58">
        <v>147030142.5</v>
      </c>
      <c r="I15" s="58">
        <v>147030142.5</v>
      </c>
      <c r="J15" s="24">
        <v>147030142.5</v>
      </c>
    </row>
    <row r="16" spans="1:10">
      <c r="A16" s="22" t="s">
        <v>15</v>
      </c>
      <c r="B16" s="58"/>
      <c r="C16" s="23"/>
      <c r="D16" s="23"/>
      <c r="E16" s="63"/>
      <c r="F16" s="26" t="s">
        <v>16</v>
      </c>
      <c r="G16" s="58">
        <v>0</v>
      </c>
      <c r="H16" s="58"/>
      <c r="I16" s="58"/>
      <c r="J16" s="24"/>
    </row>
    <row r="17" spans="1:10" ht="16.5">
      <c r="A17" s="22" t="s">
        <v>17</v>
      </c>
      <c r="B17" s="58">
        <v>418798.47</v>
      </c>
      <c r="C17" s="23">
        <v>369616.91</v>
      </c>
      <c r="D17" s="23">
        <v>508798.47</v>
      </c>
      <c r="E17" s="204">
        <v>478798.47</v>
      </c>
      <c r="F17" s="25" t="s">
        <v>18</v>
      </c>
      <c r="G17" s="58"/>
      <c r="H17" s="58"/>
      <c r="I17" s="58"/>
      <c r="J17" s="24"/>
    </row>
    <row r="18" spans="1:10" ht="16.5">
      <c r="A18" s="22" t="s">
        <v>19</v>
      </c>
      <c r="B18" s="58"/>
      <c r="C18" s="23"/>
      <c r="D18" s="23"/>
      <c r="E18" s="63"/>
      <c r="F18" s="25" t="s">
        <v>20</v>
      </c>
      <c r="G18" s="57">
        <f>SUM(G19:G20)</f>
        <v>28534335.549999997</v>
      </c>
      <c r="H18" s="57">
        <f>SUM(H19:H20)</f>
        <v>36988371.540000007</v>
      </c>
      <c r="I18" s="57">
        <f>SUM(I19:I20)</f>
        <v>47573481.400000006</v>
      </c>
      <c r="J18" s="27">
        <f>SUM(J19:J20)</f>
        <v>48327561.040000007</v>
      </c>
    </row>
    <row r="19" spans="1:10" ht="16.5">
      <c r="A19" s="19" t="s">
        <v>21</v>
      </c>
      <c r="B19" s="57">
        <f>SUM(B20:B22)</f>
        <v>24131398.349999998</v>
      </c>
      <c r="C19" s="20">
        <f>SUM(C20:C22)</f>
        <v>23824412.789999999</v>
      </c>
      <c r="D19" s="20">
        <f>SUM(D20:D22)</f>
        <v>24131398.349999998</v>
      </c>
      <c r="E19" s="81">
        <f>SUM(E20:E22)</f>
        <v>23821398.350000001</v>
      </c>
      <c r="F19" s="26" t="s">
        <v>22</v>
      </c>
      <c r="G19" s="58">
        <v>15539936.6</v>
      </c>
      <c r="H19" s="58">
        <v>16519171.270000001</v>
      </c>
      <c r="I19" s="58">
        <v>17433569.390000001</v>
      </c>
      <c r="J19" s="24">
        <v>17810609.210000001</v>
      </c>
    </row>
    <row r="20" spans="1:10">
      <c r="A20" s="22" t="s">
        <v>23</v>
      </c>
      <c r="B20" s="58">
        <v>20937042.949999999</v>
      </c>
      <c r="C20" s="23">
        <v>20432332.399999999</v>
      </c>
      <c r="D20" s="23">
        <v>20737042.949999999</v>
      </c>
      <c r="E20" s="204">
        <v>20537042.949999999</v>
      </c>
      <c r="F20" s="28" t="s">
        <v>24</v>
      </c>
      <c r="G20" s="58">
        <v>12994398.949999999</v>
      </c>
      <c r="H20" s="58">
        <v>20469200.270000003</v>
      </c>
      <c r="I20" s="58">
        <v>30139912.010000002</v>
      </c>
      <c r="J20" s="24">
        <v>30516951.830000002</v>
      </c>
    </row>
    <row r="21" spans="1:10" ht="16.5">
      <c r="A21" s="22" t="s">
        <v>25</v>
      </c>
      <c r="B21" s="58">
        <v>751235.58999999985</v>
      </c>
      <c r="C21" s="23">
        <v>3392080.3899999997</v>
      </c>
      <c r="D21" s="23">
        <v>3394355.4</v>
      </c>
      <c r="E21" s="204">
        <v>3284355.4000000004</v>
      </c>
      <c r="F21" s="25" t="s">
        <v>26</v>
      </c>
      <c r="G21" s="57">
        <f>SUM(G22:G23)</f>
        <v>0</v>
      </c>
      <c r="H21" s="57">
        <f>SUM(H22:H23)</f>
        <v>0</v>
      </c>
      <c r="I21" s="57">
        <f>SUM(I22:I23)</f>
        <v>0</v>
      </c>
      <c r="J21" s="27"/>
    </row>
    <row r="22" spans="1:10">
      <c r="A22" s="22" t="s">
        <v>27</v>
      </c>
      <c r="B22" s="58">
        <v>2443119.81</v>
      </c>
      <c r="C22" s="23"/>
      <c r="D22" s="23"/>
      <c r="E22" s="204"/>
      <c r="F22" s="28" t="s">
        <v>28</v>
      </c>
      <c r="G22" s="58"/>
      <c r="H22" s="58"/>
      <c r="I22" s="58"/>
      <c r="J22" s="24"/>
    </row>
    <row r="23" spans="1:10" ht="16.5">
      <c r="A23" s="19" t="s">
        <v>29</v>
      </c>
      <c r="B23" s="57">
        <f>SUM(B24:B25)</f>
        <v>738435617.61000001</v>
      </c>
      <c r="C23" s="20">
        <f>SUM(C24:C25)</f>
        <v>833147806.5200001</v>
      </c>
      <c r="D23" s="20">
        <f>SUM(D24:D25)</f>
        <v>818610589.92000008</v>
      </c>
      <c r="E23" s="203">
        <f>SUM(E24:E25)</f>
        <v>951698534.48999977</v>
      </c>
      <c r="F23" s="26" t="s">
        <v>30</v>
      </c>
      <c r="G23" s="58"/>
      <c r="H23" s="58"/>
      <c r="I23" s="58"/>
      <c r="J23" s="24"/>
    </row>
    <row r="24" spans="1:10" ht="16.5">
      <c r="A24" s="22" t="s">
        <v>31</v>
      </c>
      <c r="B24" s="58">
        <v>253591060.09</v>
      </c>
      <c r="C24" s="23">
        <v>264311649.63</v>
      </c>
      <c r="D24" s="23">
        <v>260591060.08999997</v>
      </c>
      <c r="E24" s="204">
        <v>273091060.08999997</v>
      </c>
      <c r="F24" s="29" t="s">
        <v>32</v>
      </c>
      <c r="G24" s="58">
        <v>62199432.729999997</v>
      </c>
      <c r="H24" s="58">
        <v>62199432.729999997</v>
      </c>
      <c r="I24" s="58">
        <v>62199432.729999997</v>
      </c>
      <c r="J24" s="24">
        <v>62199432.729999997</v>
      </c>
    </row>
    <row r="25" spans="1:10" ht="16.5">
      <c r="A25" s="22" t="s">
        <v>33</v>
      </c>
      <c r="B25" s="58">
        <v>484844557.51999998</v>
      </c>
      <c r="C25" s="23">
        <v>568836156.8900001</v>
      </c>
      <c r="D25" s="23">
        <v>558019529.83000004</v>
      </c>
      <c r="E25" s="204">
        <v>678607474.39999986</v>
      </c>
      <c r="F25" s="25" t="s">
        <v>34</v>
      </c>
      <c r="G25" s="57">
        <v>18936327.850000001</v>
      </c>
      <c r="H25" s="57">
        <v>4091587.3599999947</v>
      </c>
      <c r="I25" s="57">
        <v>3770398.1800000025</v>
      </c>
      <c r="J25" s="27">
        <v>6734079.9499999806</v>
      </c>
    </row>
    <row r="26" spans="1:10" ht="16.5">
      <c r="A26" s="19" t="s">
        <v>35</v>
      </c>
      <c r="B26" s="57">
        <f>SUM(B27:B32)</f>
        <v>8417360.6799999997</v>
      </c>
      <c r="C26" s="20">
        <f>SUM(C27:C32)</f>
        <v>8428074.379999999</v>
      </c>
      <c r="D26" s="20">
        <f>SUM(D27:D32)</f>
        <v>7768016.0154999997</v>
      </c>
      <c r="E26" s="81">
        <f>SUM(E27:E32)</f>
        <v>7166516.0199999996</v>
      </c>
      <c r="F26" s="25" t="s">
        <v>36</v>
      </c>
      <c r="G26" s="58"/>
      <c r="H26" s="58"/>
      <c r="I26" s="58"/>
      <c r="J26" s="24"/>
    </row>
    <row r="27" spans="1:10">
      <c r="A27" s="22" t="s">
        <v>37</v>
      </c>
      <c r="B27" s="58"/>
      <c r="C27" s="23"/>
      <c r="D27" s="23"/>
      <c r="E27" s="204"/>
      <c r="F27" s="14"/>
      <c r="G27" s="80"/>
      <c r="H27" s="80"/>
      <c r="I27" s="80"/>
      <c r="J27" s="51"/>
    </row>
    <row r="28" spans="1:10" ht="15.75">
      <c r="A28" s="22" t="s">
        <v>38</v>
      </c>
      <c r="B28" s="58">
        <v>5570842.3600000003</v>
      </c>
      <c r="C28" s="23">
        <v>4875272.38</v>
      </c>
      <c r="D28" s="23">
        <v>4821497.6955000004</v>
      </c>
      <c r="E28" s="204">
        <v>4319997.7</v>
      </c>
      <c r="F28" s="21" t="s">
        <v>39</v>
      </c>
      <c r="G28" s="57">
        <f>SUM(G29:G31)</f>
        <v>0</v>
      </c>
      <c r="H28" s="57">
        <f>SUM(H29:H31)</f>
        <v>0</v>
      </c>
      <c r="I28" s="57">
        <f>SUM(I29:I31)</f>
        <v>0</v>
      </c>
      <c r="J28" s="27"/>
    </row>
    <row r="29" spans="1:10" ht="16.5">
      <c r="A29" s="22" t="s">
        <v>40</v>
      </c>
      <c r="B29" s="58"/>
      <c r="C29" s="23"/>
      <c r="D29" s="23"/>
      <c r="E29" s="204"/>
      <c r="F29" s="29" t="s">
        <v>41</v>
      </c>
      <c r="G29" s="58"/>
      <c r="H29" s="58"/>
      <c r="I29" s="58"/>
      <c r="J29" s="24"/>
    </row>
    <row r="30" spans="1:10" ht="16.5">
      <c r="A30" s="22" t="s">
        <v>42</v>
      </c>
      <c r="B30" s="58"/>
      <c r="C30" s="23"/>
      <c r="D30" s="23"/>
      <c r="E30" s="204"/>
      <c r="F30" s="29" t="s">
        <v>43</v>
      </c>
      <c r="G30" s="58"/>
      <c r="H30" s="58"/>
      <c r="I30" s="58"/>
      <c r="J30" s="24"/>
    </row>
    <row r="31" spans="1:10" ht="16.5">
      <c r="A31" s="22" t="s">
        <v>44</v>
      </c>
      <c r="B31" s="58"/>
      <c r="C31" s="23"/>
      <c r="D31" s="23"/>
      <c r="E31" s="204"/>
      <c r="F31" s="25" t="s">
        <v>45</v>
      </c>
      <c r="G31" s="58"/>
      <c r="H31" s="58"/>
      <c r="I31" s="58"/>
      <c r="J31" s="24"/>
    </row>
    <row r="32" spans="1:10">
      <c r="A32" s="22" t="s">
        <v>46</v>
      </c>
      <c r="B32" s="58">
        <v>2846518.32</v>
      </c>
      <c r="C32" s="23">
        <v>3552802</v>
      </c>
      <c r="D32" s="23">
        <f>B32+500000-400000</f>
        <v>2946518.32</v>
      </c>
      <c r="E32" s="204">
        <f>D32+400000-500000</f>
        <v>2846518.32</v>
      </c>
      <c r="F32" s="14"/>
      <c r="G32" s="80"/>
      <c r="H32" s="80"/>
      <c r="I32" s="80"/>
      <c r="J32" s="51"/>
    </row>
    <row r="33" spans="1:10" ht="16.5">
      <c r="A33" s="19" t="s">
        <v>47</v>
      </c>
      <c r="B33" s="58">
        <v>96271.98218124987</v>
      </c>
      <c r="C33" s="23">
        <v>126598.79</v>
      </c>
      <c r="D33" s="23">
        <v>96271.98</v>
      </c>
      <c r="E33" s="204">
        <f>D33-50000</f>
        <v>46271.979999999996</v>
      </c>
      <c r="F33" s="21" t="s">
        <v>48</v>
      </c>
      <c r="G33" s="57">
        <f>SUM(G34:G36)</f>
        <v>746951443.50999999</v>
      </c>
      <c r="H33" s="57">
        <f>SUM(H34:H36)</f>
        <v>793172067.54000008</v>
      </c>
      <c r="I33" s="57">
        <f>SUM(I34:I36)</f>
        <v>795339764.50999999</v>
      </c>
      <c r="J33" s="27">
        <f>SUM(J34:J36)</f>
        <v>862339764.50999999</v>
      </c>
    </row>
    <row r="34" spans="1:10" ht="16.5">
      <c r="A34" s="31"/>
      <c r="B34" s="80"/>
      <c r="C34" s="30"/>
      <c r="D34" s="20"/>
      <c r="E34" s="32"/>
      <c r="F34" s="29" t="s">
        <v>49</v>
      </c>
      <c r="G34" s="58">
        <v>561670810.02999997</v>
      </c>
      <c r="H34" s="58">
        <v>602941434.06000006</v>
      </c>
      <c r="I34" s="58">
        <v>605109131.02999997</v>
      </c>
      <c r="J34" s="24">
        <v>667159131.02999997</v>
      </c>
    </row>
    <row r="35" spans="1:10" ht="16.5">
      <c r="A35" s="15" t="s">
        <v>50</v>
      </c>
      <c r="B35" s="195">
        <f>B36+B37+B44+B52+B59+B60</f>
        <v>279882071</v>
      </c>
      <c r="C35" s="16">
        <f>C36+C37+C44+C52+C59+C60</f>
        <v>240910212.52999997</v>
      </c>
      <c r="D35" s="16">
        <f>D36+D37+D44+D52+D59+D60</f>
        <v>268719050.95999998</v>
      </c>
      <c r="E35" s="200">
        <f>E36+E37+E44+E52+E59+E60</f>
        <v>198879525.62</v>
      </c>
      <c r="F35" s="29" t="s">
        <v>51</v>
      </c>
      <c r="G35" s="58">
        <v>8460549.6500000004</v>
      </c>
      <c r="H35" s="58">
        <v>8410549.6500000004</v>
      </c>
      <c r="I35" s="58">
        <v>8410549.6500000004</v>
      </c>
      <c r="J35" s="24">
        <v>8360549.6500000004</v>
      </c>
    </row>
    <row r="36" spans="1:10" ht="16.5">
      <c r="A36" s="19" t="s">
        <v>52</v>
      </c>
      <c r="B36" s="58"/>
      <c r="C36" s="23"/>
      <c r="D36" s="23"/>
      <c r="E36" s="33"/>
      <c r="F36" s="25" t="s">
        <v>53</v>
      </c>
      <c r="G36" s="58">
        <v>176820083.82999998</v>
      </c>
      <c r="H36" s="58">
        <v>181820083.83000001</v>
      </c>
      <c r="I36" s="58">
        <v>181820083.82999998</v>
      </c>
      <c r="J36" s="24">
        <v>186820083.82999998</v>
      </c>
    </row>
    <row r="37" spans="1:10" ht="16.5">
      <c r="A37" s="34" t="s">
        <v>54</v>
      </c>
      <c r="B37" s="57">
        <f>SUM(B38:B43)</f>
        <v>25197687.640000001</v>
      </c>
      <c r="C37" s="20">
        <f>SUM(C38:C43)</f>
        <v>21303111.309999995</v>
      </c>
      <c r="D37" s="20">
        <f>SUM(D38:D43)</f>
        <v>23053864.799999997</v>
      </c>
      <c r="E37" s="81">
        <f>SUM(E38:E43)</f>
        <v>22053864.799999997</v>
      </c>
      <c r="F37" s="35"/>
      <c r="G37" s="196"/>
      <c r="H37" s="196"/>
      <c r="I37" s="196"/>
      <c r="J37" s="205"/>
    </row>
    <row r="38" spans="1:10" ht="15.75">
      <c r="A38" s="22" t="s">
        <v>55</v>
      </c>
      <c r="B38" s="58"/>
      <c r="C38" s="23"/>
      <c r="D38" s="23"/>
      <c r="E38" s="63"/>
      <c r="F38" s="18" t="s">
        <v>56</v>
      </c>
      <c r="G38" s="195">
        <f>G39+G44+G49+G50+G51</f>
        <v>9665415.1600000001</v>
      </c>
      <c r="H38" s="195">
        <f>H39+H44+H49+H50+H51</f>
        <v>12862043.230000002</v>
      </c>
      <c r="I38" s="195">
        <f>I39+I44+I49+I50+I51</f>
        <v>11652411.660000004</v>
      </c>
      <c r="J38" s="17">
        <f>J39+J44+J49+J50+J51</f>
        <v>13853161.660000004</v>
      </c>
    </row>
    <row r="39" spans="1:10" ht="16.5">
      <c r="A39" s="22" t="s">
        <v>57</v>
      </c>
      <c r="B39" s="58">
        <v>25003952.050000001</v>
      </c>
      <c r="C39" s="23">
        <v>21303111.309999995</v>
      </c>
      <c r="D39" s="23">
        <v>23053864.799999997</v>
      </c>
      <c r="E39" s="204">
        <v>22053864.799999997</v>
      </c>
      <c r="F39" s="25" t="s">
        <v>58</v>
      </c>
      <c r="G39" s="57">
        <f>SUM(G40:G43)</f>
        <v>5830660.0999999996</v>
      </c>
      <c r="H39" s="57">
        <f>SUM(H40:H43)</f>
        <v>4790579.5100000026</v>
      </c>
      <c r="I39" s="57">
        <f>SUM(I40:I43)</f>
        <v>5330660.1000000024</v>
      </c>
      <c r="J39" s="27">
        <f>SUM(J40:J43)</f>
        <v>4830660.1000000024</v>
      </c>
    </row>
    <row r="40" spans="1:10">
      <c r="A40" s="22" t="s">
        <v>59</v>
      </c>
      <c r="B40" s="58"/>
      <c r="C40" s="23"/>
      <c r="D40" s="23">
        <v>0</v>
      </c>
      <c r="E40" s="204"/>
      <c r="F40" s="26" t="s">
        <v>60</v>
      </c>
      <c r="G40" s="58"/>
      <c r="H40" s="58"/>
      <c r="I40" s="58"/>
      <c r="J40" s="24"/>
    </row>
    <row r="41" spans="1:10">
      <c r="A41" s="22" t="s">
        <v>61</v>
      </c>
      <c r="B41" s="58"/>
      <c r="C41" s="23"/>
      <c r="D41" s="23">
        <v>0</v>
      </c>
      <c r="E41" s="204"/>
      <c r="F41" s="26" t="s">
        <v>62</v>
      </c>
      <c r="G41" s="58"/>
      <c r="H41" s="58"/>
      <c r="I41" s="58"/>
      <c r="J41" s="24"/>
    </row>
    <row r="42" spans="1:10">
      <c r="A42" s="22" t="s">
        <v>63</v>
      </c>
      <c r="B42" s="58"/>
      <c r="C42" s="23"/>
      <c r="D42" s="23"/>
      <c r="E42" s="63"/>
      <c r="F42" s="26" t="s">
        <v>64</v>
      </c>
      <c r="G42" s="58"/>
      <c r="H42" s="58"/>
      <c r="I42" s="58"/>
      <c r="J42" s="24"/>
    </row>
    <row r="43" spans="1:10">
      <c r="A43" s="22" t="s">
        <v>65</v>
      </c>
      <c r="B43" s="58">
        <v>193735.59</v>
      </c>
      <c r="C43" s="23"/>
      <c r="D43" s="23"/>
      <c r="E43" s="204"/>
      <c r="F43" s="26" t="s">
        <v>66</v>
      </c>
      <c r="G43" s="58">
        <v>5830660.0999999996</v>
      </c>
      <c r="H43" s="58">
        <v>4790579.5100000026</v>
      </c>
      <c r="I43" s="58">
        <v>5330660.1000000024</v>
      </c>
      <c r="J43" s="24">
        <v>4830660.1000000024</v>
      </c>
    </row>
    <row r="44" spans="1:10" ht="16.5">
      <c r="A44" s="34" t="s">
        <v>67</v>
      </c>
      <c r="B44" s="57">
        <f>SUM(B45:B51)</f>
        <v>127951128.97000001</v>
      </c>
      <c r="C44" s="20">
        <f>SUM(C45:C51)</f>
        <v>93589938.99000001</v>
      </c>
      <c r="D44" s="20">
        <f>SUM(D45:D51)</f>
        <v>102190605.60999998</v>
      </c>
      <c r="E44" s="203">
        <f>SUM(E45:E51)</f>
        <v>123211178.92999999</v>
      </c>
      <c r="F44" s="25" t="s">
        <v>68</v>
      </c>
      <c r="G44" s="57">
        <f>SUM(G45:G48)</f>
        <v>1870655.2000000002</v>
      </c>
      <c r="H44" s="57">
        <f>SUM(H45:H48)</f>
        <v>5967766.2000000002</v>
      </c>
      <c r="I44" s="57">
        <f>SUM(I45:I48)</f>
        <v>4212930.9000000004</v>
      </c>
      <c r="J44" s="27">
        <f>SUM(J45:J48)</f>
        <v>6731180.9000000004</v>
      </c>
    </row>
    <row r="45" spans="1:10">
      <c r="A45" s="36" t="s">
        <v>69</v>
      </c>
      <c r="B45" s="58">
        <v>5602538.3600000003</v>
      </c>
      <c r="C45" s="23">
        <v>6447165.290000001</v>
      </c>
      <c r="D45" s="23">
        <v>6930038.3600000013</v>
      </c>
      <c r="E45" s="63">
        <v>6920038.3600000013</v>
      </c>
      <c r="F45" s="26" t="s">
        <v>70</v>
      </c>
      <c r="G45" s="58"/>
      <c r="H45" s="58"/>
      <c r="I45" s="58"/>
      <c r="J45" s="24"/>
    </row>
    <row r="46" spans="1:10">
      <c r="A46" s="36" t="s">
        <v>71</v>
      </c>
      <c r="B46" s="58">
        <v>120813948.45000002</v>
      </c>
      <c r="C46" s="23">
        <v>82740821</v>
      </c>
      <c r="D46" s="23">
        <f>94414624.88+23140.57</f>
        <v>94437765.449999988</v>
      </c>
      <c r="E46" s="204">
        <f>115700000+23140.57</f>
        <v>115723140.56999999</v>
      </c>
      <c r="F46" s="26" t="s">
        <v>72</v>
      </c>
      <c r="G46" s="58">
        <v>829944.04</v>
      </c>
      <c r="H46" s="58">
        <v>3467766.2</v>
      </c>
      <c r="I46" s="58">
        <v>3162930.9000000004</v>
      </c>
      <c r="J46" s="24">
        <v>5631180.9000000004</v>
      </c>
    </row>
    <row r="47" spans="1:10">
      <c r="A47" s="36" t="s">
        <v>73</v>
      </c>
      <c r="B47" s="58">
        <v>1470183.88</v>
      </c>
      <c r="C47" s="23">
        <v>3883952.7</v>
      </c>
      <c r="D47" s="23">
        <f>1470183.88-712318.6</f>
        <v>757865.27999999991</v>
      </c>
      <c r="E47" s="63">
        <v>500000</v>
      </c>
      <c r="F47" s="26" t="s">
        <v>74</v>
      </c>
      <c r="G47" s="58"/>
      <c r="H47" s="58"/>
      <c r="I47" s="58"/>
      <c r="J47" s="24"/>
    </row>
    <row r="48" spans="1:10">
      <c r="A48" s="22" t="s">
        <v>75</v>
      </c>
      <c r="B48" s="58">
        <v>56936.52</v>
      </c>
      <c r="C48" s="23">
        <v>500000</v>
      </c>
      <c r="D48" s="23">
        <v>56936.52</v>
      </c>
      <c r="E48" s="63">
        <v>60000</v>
      </c>
      <c r="F48" s="26" t="s">
        <v>76</v>
      </c>
      <c r="G48" s="58">
        <v>1040711.16</v>
      </c>
      <c r="H48" s="58">
        <v>2500000</v>
      </c>
      <c r="I48" s="58">
        <v>1050000</v>
      </c>
      <c r="J48" s="24">
        <v>1100000</v>
      </c>
    </row>
    <row r="49" spans="1:10" ht="16.5">
      <c r="A49" s="22" t="s">
        <v>77</v>
      </c>
      <c r="B49" s="58">
        <v>7521.76</v>
      </c>
      <c r="C49" s="23">
        <v>18000</v>
      </c>
      <c r="D49" s="23">
        <v>8000</v>
      </c>
      <c r="E49" s="204">
        <v>8000</v>
      </c>
      <c r="F49" s="25" t="s">
        <v>78</v>
      </c>
      <c r="G49" s="57"/>
      <c r="H49" s="57"/>
      <c r="I49" s="57"/>
      <c r="J49" s="27"/>
    </row>
    <row r="50" spans="1:10" ht="16.5">
      <c r="A50" s="22" t="s">
        <v>79</v>
      </c>
      <c r="B50" s="58"/>
      <c r="C50" s="23"/>
      <c r="D50" s="23"/>
      <c r="E50" s="63"/>
      <c r="F50" s="25" t="s">
        <v>80</v>
      </c>
      <c r="G50" s="58">
        <v>1964099.86</v>
      </c>
      <c r="H50" s="58">
        <v>2103697.52</v>
      </c>
      <c r="I50" s="58">
        <f>G50+137220.8+7500</f>
        <v>2108820.66</v>
      </c>
      <c r="J50" s="24">
        <f>I50+182500</f>
        <v>2291320.66</v>
      </c>
    </row>
    <row r="51" spans="1:10" ht="16.5">
      <c r="A51" s="36" t="s">
        <v>81</v>
      </c>
      <c r="B51" s="58"/>
      <c r="C51" s="23"/>
      <c r="D51" s="23"/>
      <c r="E51" s="63"/>
      <c r="F51" s="25" t="s">
        <v>82</v>
      </c>
      <c r="G51" s="58"/>
      <c r="H51" s="58"/>
      <c r="I51" s="58"/>
      <c r="J51" s="24"/>
    </row>
    <row r="52" spans="1:10" ht="16.5">
      <c r="A52" s="34" t="s">
        <v>83</v>
      </c>
      <c r="B52" s="57">
        <f>SUM(B53:B58)</f>
        <v>140035.82</v>
      </c>
      <c r="C52" s="20">
        <f>SUM(C53:C58)</f>
        <v>140035.82</v>
      </c>
      <c r="D52" s="20">
        <f>SUM(D53:D58)</f>
        <v>140035.82</v>
      </c>
      <c r="E52" s="81">
        <f>SUM(E53:E58)</f>
        <v>140035.82</v>
      </c>
      <c r="F52" s="37"/>
      <c r="G52" s="80"/>
      <c r="H52" s="80"/>
      <c r="I52" s="80"/>
      <c r="J52" s="51"/>
    </row>
    <row r="53" spans="1:10" ht="15.75">
      <c r="A53" s="22" t="s">
        <v>37</v>
      </c>
      <c r="B53" s="58"/>
      <c r="C53" s="23"/>
      <c r="D53" s="23"/>
      <c r="E53" s="63"/>
      <c r="F53" s="38" t="s">
        <v>84</v>
      </c>
      <c r="G53" s="195">
        <f>G54+G55+G56+G61+G62+G70</f>
        <v>38064420.790000007</v>
      </c>
      <c r="H53" s="195">
        <f>H54+H55+H56+H61+H62+H70</f>
        <v>50463077.019999996</v>
      </c>
      <c r="I53" s="195">
        <f>I54+I55+I56+I61+I62+I70</f>
        <v>52268494.720000006</v>
      </c>
      <c r="J53" s="17">
        <f>J54+J55+J56+J61+J62+J70</f>
        <v>41606902.540000007</v>
      </c>
    </row>
    <row r="54" spans="1:10" ht="16.5">
      <c r="A54" s="22" t="s">
        <v>38</v>
      </c>
      <c r="B54" s="58"/>
      <c r="C54" s="23"/>
      <c r="D54" s="23"/>
      <c r="E54" s="63"/>
      <c r="F54" s="25" t="s">
        <v>85</v>
      </c>
      <c r="G54" s="58"/>
      <c r="H54" s="58"/>
      <c r="I54" s="58"/>
      <c r="J54" s="24"/>
    </row>
    <row r="55" spans="1:10" ht="16.5">
      <c r="A55" s="22" t="s">
        <v>40</v>
      </c>
      <c r="B55" s="58"/>
      <c r="C55" s="23"/>
      <c r="D55" s="23"/>
      <c r="E55" s="63"/>
      <c r="F55" s="25" t="s">
        <v>86</v>
      </c>
      <c r="G55" s="58"/>
      <c r="H55" s="58"/>
      <c r="I55" s="58"/>
      <c r="J55" s="24"/>
    </row>
    <row r="56" spans="1:10" ht="16.5">
      <c r="A56" s="22" t="s">
        <v>42</v>
      </c>
      <c r="B56" s="58"/>
      <c r="C56" s="23"/>
      <c r="D56" s="23"/>
      <c r="E56" s="63"/>
      <c r="F56" s="25" t="s">
        <v>87</v>
      </c>
      <c r="G56" s="57">
        <f>SUM(G57:G60)</f>
        <v>119878.83999999998</v>
      </c>
      <c r="H56" s="57">
        <f>SUM(H57:H60)</f>
        <v>5000</v>
      </c>
      <c r="I56" s="57">
        <f>SUM(I57:I60)</f>
        <v>549500</v>
      </c>
      <c r="J56" s="27">
        <f>SUM(J57:J60)</f>
        <v>687500</v>
      </c>
    </row>
    <row r="57" spans="1:10">
      <c r="A57" s="22" t="s">
        <v>44</v>
      </c>
      <c r="B57" s="58">
        <v>140035.82</v>
      </c>
      <c r="C57" s="23">
        <v>140035.82</v>
      </c>
      <c r="D57" s="23">
        <v>140035.82</v>
      </c>
      <c r="E57" s="63">
        <v>140035.82</v>
      </c>
      <c r="F57" s="26" t="s">
        <v>70</v>
      </c>
      <c r="G57" s="58"/>
      <c r="H57" s="58">
        <v>0</v>
      </c>
      <c r="I57" s="58">
        <v>0</v>
      </c>
      <c r="J57" s="24"/>
    </row>
    <row r="58" spans="1:10">
      <c r="A58" s="22" t="s">
        <v>46</v>
      </c>
      <c r="B58" s="58"/>
      <c r="C58" s="23"/>
      <c r="D58" s="23"/>
      <c r="E58" s="63"/>
      <c r="F58" s="26" t="s">
        <v>72</v>
      </c>
      <c r="G58" s="58">
        <v>117695.15999999999</v>
      </c>
      <c r="H58" s="58"/>
      <c r="I58" s="58">
        <v>549500</v>
      </c>
      <c r="J58" s="24">
        <v>687500</v>
      </c>
    </row>
    <row r="59" spans="1:10" ht="16.5">
      <c r="A59" s="34" t="s">
        <v>88</v>
      </c>
      <c r="B59" s="57">
        <v>968180.9</v>
      </c>
      <c r="C59" s="20">
        <v>4020312.5</v>
      </c>
      <c r="D59" s="20">
        <v>3712430.9000000004</v>
      </c>
      <c r="E59" s="32">
        <v>6037930.9000000004</v>
      </c>
      <c r="F59" s="26" t="s">
        <v>74</v>
      </c>
      <c r="G59" s="58"/>
      <c r="H59" s="58"/>
      <c r="I59" s="58"/>
      <c r="J59" s="24"/>
    </row>
    <row r="60" spans="1:10" ht="16.5">
      <c r="A60" s="34" t="s">
        <v>89</v>
      </c>
      <c r="B60" s="57">
        <f>SUM(B61:B62)</f>
        <v>125625037.67</v>
      </c>
      <c r="C60" s="20">
        <f>SUM(C61:C62)</f>
        <v>121856813.90999997</v>
      </c>
      <c r="D60" s="20">
        <f>SUM(D61:D62)</f>
        <v>139622113.82999998</v>
      </c>
      <c r="E60" s="81">
        <f>SUM(E61:E62)</f>
        <v>47436515.170000002</v>
      </c>
      <c r="F60" s="26" t="s">
        <v>76</v>
      </c>
      <c r="G60" s="58">
        <v>2183.6799999999998</v>
      </c>
      <c r="H60" s="58">
        <v>5000</v>
      </c>
      <c r="I60" s="58"/>
      <c r="J60" s="24"/>
    </row>
    <row r="61" spans="1:10" ht="16.5">
      <c r="A61" s="36" t="s">
        <v>90</v>
      </c>
      <c r="B61" s="58">
        <v>125625037.67</v>
      </c>
      <c r="C61" s="23">
        <v>121856813.90999997</v>
      </c>
      <c r="D61" s="23">
        <f>75631097.21+22150541.78+12406925-75000+68430.06+21481666.74+3772110.41+4186342.63</f>
        <v>139622113.82999998</v>
      </c>
      <c r="E61" s="23">
        <f>47441233.17-4718</f>
        <v>47436515.170000002</v>
      </c>
      <c r="F61" s="25" t="s">
        <v>91</v>
      </c>
      <c r="G61" s="58">
        <v>58392.46</v>
      </c>
      <c r="H61" s="58">
        <v>58392.46</v>
      </c>
      <c r="I61" s="58">
        <v>58392.46</v>
      </c>
      <c r="J61" s="24">
        <v>58392.46</v>
      </c>
    </row>
    <row r="62" spans="1:10" ht="16.5">
      <c r="A62" s="36" t="s">
        <v>92</v>
      </c>
      <c r="B62" s="58"/>
      <c r="C62" s="23"/>
      <c r="D62" s="23"/>
      <c r="E62" s="23"/>
      <c r="F62" s="25" t="s">
        <v>93</v>
      </c>
      <c r="G62" s="57">
        <f>SUM(G63:G69)</f>
        <v>21200867.700000003</v>
      </c>
      <c r="H62" s="57">
        <f>SUM(H63:H69)</f>
        <v>36006459.469999999</v>
      </c>
      <c r="I62" s="57">
        <f>SUM(I63:I69)</f>
        <v>29309505.82</v>
      </c>
      <c r="J62" s="27">
        <f>SUM(J63:J69)</f>
        <v>31831916.990000002</v>
      </c>
    </row>
    <row r="63" spans="1:10">
      <c r="A63" s="39"/>
      <c r="B63" s="86"/>
      <c r="C63" s="40"/>
      <c r="D63" s="41"/>
      <c r="E63" s="32"/>
      <c r="F63" s="26" t="s">
        <v>94</v>
      </c>
      <c r="G63" s="58">
        <v>12192889.59</v>
      </c>
      <c r="H63" s="58">
        <v>24645393.530000001</v>
      </c>
      <c r="I63" s="58">
        <v>20000000</v>
      </c>
      <c r="J63" s="24">
        <f>I63+ROUND(121000000*0.05,2)+75000</f>
        <v>26125000</v>
      </c>
    </row>
    <row r="64" spans="1:10">
      <c r="A64" s="39"/>
      <c r="B64" s="88"/>
      <c r="C64" s="43"/>
      <c r="D64" s="44"/>
      <c r="E64" s="32"/>
      <c r="F64" s="26" t="s">
        <v>95</v>
      </c>
      <c r="G64" s="58"/>
      <c r="H64" s="58"/>
      <c r="I64" s="58"/>
      <c r="J64" s="24"/>
    </row>
    <row r="65" spans="1:10">
      <c r="A65" s="39"/>
      <c r="B65" s="88"/>
      <c r="C65" s="43"/>
      <c r="D65" s="44"/>
      <c r="E65" s="32"/>
      <c r="F65" s="26" t="s">
        <v>96</v>
      </c>
      <c r="G65" s="58">
        <v>7595477.3300000001</v>
      </c>
      <c r="H65" s="58">
        <v>8981233.5399999991</v>
      </c>
      <c r="I65" s="58">
        <v>8000000</v>
      </c>
      <c r="J65" s="24">
        <f>I65-118881.85-901705.92-3472495.24+1000000</f>
        <v>4506916.99</v>
      </c>
    </row>
    <row r="66" spans="1:10">
      <c r="A66" s="39"/>
      <c r="B66" s="88"/>
      <c r="C66" s="43"/>
      <c r="D66" s="44"/>
      <c r="E66" s="32"/>
      <c r="F66" s="26" t="s">
        <v>97</v>
      </c>
      <c r="G66" s="58">
        <v>273282.34000000003</v>
      </c>
      <c r="H66" s="58">
        <v>600000</v>
      </c>
      <c r="I66" s="58">
        <v>273282.34000000003</v>
      </c>
      <c r="J66" s="24">
        <v>200000</v>
      </c>
    </row>
    <row r="67" spans="1:10">
      <c r="A67" s="39"/>
      <c r="B67" s="88"/>
      <c r="C67" s="43"/>
      <c r="D67" s="44"/>
      <c r="E67" s="32"/>
      <c r="F67" s="26" t="s">
        <v>98</v>
      </c>
      <c r="G67" s="58"/>
      <c r="H67" s="58"/>
      <c r="I67" s="58"/>
      <c r="J67" s="24"/>
    </row>
    <row r="68" spans="1:10">
      <c r="A68" s="39"/>
      <c r="B68" s="88"/>
      <c r="C68" s="43"/>
      <c r="D68" s="44"/>
      <c r="E68" s="32"/>
      <c r="F68" s="26" t="s">
        <v>99</v>
      </c>
      <c r="G68" s="58">
        <v>1109249.08</v>
      </c>
      <c r="H68" s="58">
        <v>1750000</v>
      </c>
      <c r="I68" s="58">
        <f>1109249.08-102818</f>
        <v>1006431.0800000001</v>
      </c>
      <c r="J68" s="24">
        <v>1000000</v>
      </c>
    </row>
    <row r="69" spans="1:10">
      <c r="A69" s="39"/>
      <c r="B69" s="88"/>
      <c r="C69" s="43"/>
      <c r="D69" s="44"/>
      <c r="E69" s="32"/>
      <c r="F69" s="26" t="s">
        <v>100</v>
      </c>
      <c r="G69" s="58">
        <v>29969.360000000001</v>
      </c>
      <c r="H69" s="58">
        <v>29832.400000000001</v>
      </c>
      <c r="I69" s="58">
        <v>29792.400000000001</v>
      </c>
      <c r="J69" s="24">
        <v>0</v>
      </c>
    </row>
    <row r="70" spans="1:10" ht="16.5">
      <c r="A70" s="39"/>
      <c r="B70" s="88"/>
      <c r="C70" s="43"/>
      <c r="D70" s="44"/>
      <c r="E70" s="32"/>
      <c r="F70" s="25" t="s">
        <v>101</v>
      </c>
      <c r="G70" s="58">
        <v>16685281.789999999</v>
      </c>
      <c r="H70" s="58">
        <v>14393225.09</v>
      </c>
      <c r="I70" s="58">
        <v>22351096.440000005</v>
      </c>
      <c r="J70" s="24">
        <v>9029093.0899999999</v>
      </c>
    </row>
    <row r="71" spans="1:10" ht="15" thickBot="1">
      <c r="A71" s="39"/>
      <c r="B71" s="88"/>
      <c r="C71" s="43"/>
      <c r="D71" s="44"/>
      <c r="E71" s="32"/>
      <c r="F71" s="35"/>
      <c r="G71" s="197"/>
      <c r="H71" s="197"/>
      <c r="I71" s="197"/>
      <c r="J71" s="206"/>
    </row>
    <row r="72" spans="1:10" ht="16.5" thickBot="1">
      <c r="A72" s="45" t="s">
        <v>102</v>
      </c>
      <c r="B72" s="198">
        <f>B12+B35</f>
        <v>1051381518.0921812</v>
      </c>
      <c r="C72" s="202">
        <f>C12+C35</f>
        <v>1106806721.9200001</v>
      </c>
      <c r="D72" s="202">
        <f>D12+D35</f>
        <v>1119834125.6955001</v>
      </c>
      <c r="E72" s="201">
        <f>E12+E35</f>
        <v>1182091044.9299998</v>
      </c>
      <c r="F72" s="45" t="s">
        <v>103</v>
      </c>
      <c r="G72" s="198">
        <f>G12+G38+G53</f>
        <v>1051381518.0899999</v>
      </c>
      <c r="H72" s="207">
        <f>H12+H38+H53</f>
        <v>1106806721.9200001</v>
      </c>
      <c r="I72" s="198">
        <f>I12+I38+I53</f>
        <v>1119834125.6999998</v>
      </c>
      <c r="J72" s="46">
        <f>J12+J38+J53</f>
        <v>1182091044.9300001</v>
      </c>
    </row>
  </sheetData>
  <mergeCells count="2">
    <mergeCell ref="A9:A10"/>
    <mergeCell ref="F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96"/>
  <sheetViews>
    <sheetView topLeftCell="A64" workbookViewId="0">
      <selection activeCell="D10" sqref="D10:G11"/>
    </sheetView>
  </sheetViews>
  <sheetFormatPr baseColWidth="10" defaultRowHeight="14.25"/>
  <cols>
    <col min="3" max="3" width="53.125" customWidth="1"/>
    <col min="4" max="4" width="22.875" customWidth="1"/>
    <col min="5" max="5" width="19.25" customWidth="1"/>
    <col min="6" max="6" width="22.25" customWidth="1"/>
    <col min="7" max="7" width="20.125" customWidth="1"/>
  </cols>
  <sheetData>
    <row r="4" spans="2:7" ht="18">
      <c r="B4" s="2"/>
      <c r="C4" s="277" t="s">
        <v>104</v>
      </c>
      <c r="D4" s="277"/>
      <c r="E4" s="277"/>
      <c r="F4" s="277"/>
      <c r="G4" s="47"/>
    </row>
    <row r="5" spans="2:7" ht="15.75">
      <c r="B5" s="2"/>
      <c r="C5" s="1"/>
      <c r="D5" s="1"/>
      <c r="E5" s="1"/>
      <c r="F5" s="2"/>
      <c r="G5" s="2"/>
    </row>
    <row r="6" spans="2:7" ht="15.75">
      <c r="B6" s="2"/>
      <c r="C6" s="1"/>
      <c r="D6" s="1"/>
      <c r="E6" s="1"/>
      <c r="F6" s="2"/>
      <c r="G6" s="2"/>
    </row>
    <row r="7" spans="2:7" ht="15.75">
      <c r="B7" s="2"/>
      <c r="C7" s="1"/>
      <c r="D7" s="1"/>
      <c r="E7" s="1"/>
      <c r="F7" s="2"/>
      <c r="G7" s="2"/>
    </row>
    <row r="8" spans="2:7" ht="15.75">
      <c r="B8" s="2"/>
      <c r="C8" s="1"/>
      <c r="D8" s="1"/>
      <c r="E8" s="48"/>
      <c r="F8" s="2"/>
      <c r="G8" s="2"/>
    </row>
    <row r="9" spans="2:7" ht="16.5" thickBot="1">
      <c r="B9" s="2"/>
      <c r="C9" s="1"/>
      <c r="D9" s="1"/>
      <c r="E9" s="1"/>
      <c r="F9" s="2"/>
      <c r="G9" s="2"/>
    </row>
    <row r="10" spans="2:7" ht="15.75">
      <c r="B10" s="2"/>
      <c r="C10" s="9"/>
      <c r="D10" s="208" t="s">
        <v>3</v>
      </c>
      <c r="E10" s="209" t="s">
        <v>4</v>
      </c>
      <c r="F10" s="210" t="s">
        <v>5</v>
      </c>
      <c r="G10" s="210" t="s">
        <v>4</v>
      </c>
    </row>
    <row r="11" spans="2:7" ht="16.5" thickBot="1">
      <c r="B11" s="2"/>
      <c r="C11" s="10"/>
      <c r="D11" s="233">
        <v>44561</v>
      </c>
      <c r="E11" s="211">
        <v>44926</v>
      </c>
      <c r="F11" s="216">
        <v>44926</v>
      </c>
      <c r="G11" s="212">
        <v>45291</v>
      </c>
    </row>
    <row r="12" spans="2:7" ht="16.5" thickTop="1">
      <c r="B12" s="2"/>
      <c r="C12" s="49"/>
      <c r="D12" s="79"/>
      <c r="E12" s="50"/>
      <c r="F12" s="232"/>
      <c r="G12" s="226"/>
    </row>
    <row r="13" spans="2:7" ht="15.75">
      <c r="B13" s="2"/>
      <c r="C13" s="15" t="s">
        <v>105</v>
      </c>
      <c r="D13" s="80"/>
      <c r="E13" s="30"/>
      <c r="F13" s="30"/>
      <c r="G13" s="229"/>
    </row>
    <row r="14" spans="2:7" ht="16.5">
      <c r="B14" s="2"/>
      <c r="C14" s="52" t="s">
        <v>106</v>
      </c>
      <c r="D14" s="57">
        <f>D15+D20</f>
        <v>15831507.83</v>
      </c>
      <c r="E14" s="20">
        <f>E15+E20</f>
        <v>7774620.8700000001</v>
      </c>
      <c r="F14" s="20">
        <f>F15+F20</f>
        <v>15831507.83</v>
      </c>
      <c r="G14" s="81">
        <f>G15+G20</f>
        <v>16260247.67</v>
      </c>
    </row>
    <row r="15" spans="2:7">
      <c r="B15" s="2"/>
      <c r="C15" s="22" t="s">
        <v>107</v>
      </c>
      <c r="D15" s="57">
        <f>SUM(D16:D19)</f>
        <v>14750000</v>
      </c>
      <c r="E15" s="20">
        <f>SUM(E16:E19)</f>
        <v>7454815.3799999999</v>
      </c>
      <c r="F15" s="20">
        <f>SUM(F16:F19)</f>
        <v>14750000</v>
      </c>
      <c r="G15" s="81">
        <f>SUM(G16:G19)</f>
        <v>15500000</v>
      </c>
    </row>
    <row r="16" spans="2:7">
      <c r="B16" s="2"/>
      <c r="C16" s="53" t="s">
        <v>108</v>
      </c>
      <c r="D16" s="58"/>
      <c r="E16" s="23"/>
      <c r="F16" s="23"/>
      <c r="G16" s="63"/>
    </row>
    <row r="17" spans="2:7">
      <c r="B17" s="2"/>
      <c r="C17" s="53" t="s">
        <v>109</v>
      </c>
      <c r="D17" s="58">
        <v>14750000</v>
      </c>
      <c r="E17" s="23">
        <v>7454815.3799999999</v>
      </c>
      <c r="F17" s="23">
        <v>14750000</v>
      </c>
      <c r="G17" s="63">
        <v>15500000</v>
      </c>
    </row>
    <row r="18" spans="2:7">
      <c r="B18" s="2"/>
      <c r="C18" s="53" t="s">
        <v>110</v>
      </c>
      <c r="D18" s="58"/>
      <c r="E18" s="23"/>
      <c r="F18" s="23"/>
      <c r="G18" s="63"/>
    </row>
    <row r="19" spans="2:7">
      <c r="B19" s="2"/>
      <c r="C19" s="53" t="s">
        <v>111</v>
      </c>
      <c r="D19" s="58"/>
      <c r="E19" s="23">
        <v>0</v>
      </c>
      <c r="F19" s="23"/>
      <c r="G19" s="63"/>
    </row>
    <row r="20" spans="2:7">
      <c r="B20" s="2"/>
      <c r="C20" s="22" t="s">
        <v>112</v>
      </c>
      <c r="D20" s="57">
        <f>SUM(D21:D26)</f>
        <v>1081507.83</v>
      </c>
      <c r="E20" s="20">
        <f>SUM(E21:E26)</f>
        <v>319805.49</v>
      </c>
      <c r="F20" s="20">
        <f>SUM(F21:F26)</f>
        <v>1081507.83</v>
      </c>
      <c r="G20" s="81">
        <f>SUM(G21:G26)</f>
        <v>760247.66999999993</v>
      </c>
    </row>
    <row r="21" spans="2:7">
      <c r="B21" s="54"/>
      <c r="C21" s="53" t="s">
        <v>113</v>
      </c>
      <c r="D21" s="58">
        <v>293955.13</v>
      </c>
      <c r="E21" s="23">
        <v>143976.70000000001</v>
      </c>
      <c r="F21" s="23">
        <v>293955.13</v>
      </c>
      <c r="G21" s="63">
        <v>293955.13</v>
      </c>
    </row>
    <row r="22" spans="2:7">
      <c r="B22" s="54"/>
      <c r="C22" s="53" t="s">
        <v>114</v>
      </c>
      <c r="D22" s="58">
        <v>445000</v>
      </c>
      <c r="E22" s="23">
        <v>118000</v>
      </c>
      <c r="F22" s="23">
        <v>445000</v>
      </c>
      <c r="G22" s="63">
        <v>212500</v>
      </c>
    </row>
    <row r="23" spans="2:7">
      <c r="B23" s="54"/>
      <c r="C23" s="53" t="s">
        <v>115</v>
      </c>
      <c r="D23" s="58">
        <v>34042.160000000003</v>
      </c>
      <c r="E23" s="23">
        <v>4403.87</v>
      </c>
      <c r="F23" s="23">
        <v>34042.160000000003</v>
      </c>
      <c r="G23" s="63">
        <v>8510.5400000000009</v>
      </c>
    </row>
    <row r="24" spans="2:7">
      <c r="B24" s="54"/>
      <c r="C24" s="53" t="s">
        <v>116</v>
      </c>
      <c r="D24" s="58">
        <v>308510.53999999998</v>
      </c>
      <c r="E24" s="23">
        <v>53424.92</v>
      </c>
      <c r="F24" s="23">
        <v>308510.53999999998</v>
      </c>
      <c r="G24" s="63">
        <v>245282</v>
      </c>
    </row>
    <row r="25" spans="2:7">
      <c r="B25" s="54"/>
      <c r="C25" s="53"/>
      <c r="D25" s="58"/>
      <c r="E25" s="23"/>
      <c r="F25" s="23"/>
      <c r="G25" s="63"/>
    </row>
    <row r="26" spans="2:7">
      <c r="B26" s="2"/>
      <c r="C26" s="53"/>
      <c r="D26" s="58"/>
      <c r="E26" s="23"/>
      <c r="F26" s="23"/>
      <c r="G26" s="63"/>
    </row>
    <row r="27" spans="2:7" ht="16.5">
      <c r="B27" s="2"/>
      <c r="C27" s="52" t="s">
        <v>117</v>
      </c>
      <c r="D27" s="58"/>
      <c r="E27" s="23"/>
      <c r="F27" s="23"/>
      <c r="G27" s="63"/>
    </row>
    <row r="28" spans="2:7" ht="16.5">
      <c r="B28" s="2"/>
      <c r="C28" s="52" t="s">
        <v>118</v>
      </c>
      <c r="D28" s="58">
        <v>92385106.739999995</v>
      </c>
      <c r="E28" s="23">
        <f>33503357.86</f>
        <v>33503357.859999999</v>
      </c>
      <c r="F28" s="23">
        <v>90592864.890000001</v>
      </c>
      <c r="G28" s="63">
        <v>136687944.56999999</v>
      </c>
    </row>
    <row r="29" spans="2:7" ht="16.5">
      <c r="B29" s="2"/>
      <c r="C29" s="55" t="s">
        <v>119</v>
      </c>
      <c r="D29" s="57">
        <f>SUM(D30:D33)</f>
        <v>-102376591.86999999</v>
      </c>
      <c r="E29" s="20">
        <f>SUM(E30:E33)</f>
        <v>-35798540.640000001</v>
      </c>
      <c r="F29" s="20">
        <f>SUM(F30:F33)</f>
        <v>-95635073.920000002</v>
      </c>
      <c r="G29" s="81">
        <f>SUM(G30:G33)</f>
        <v>-149930557.53999999</v>
      </c>
    </row>
    <row r="30" spans="2:7">
      <c r="B30" s="2"/>
      <c r="C30" s="22" t="s">
        <v>120</v>
      </c>
      <c r="D30" s="58">
        <v>-92385106.739999995</v>
      </c>
      <c r="E30" s="23">
        <f>-33503357.86</f>
        <v>-33503357.859999999</v>
      </c>
      <c r="F30" s="23">
        <v>-90592864.890000001</v>
      </c>
      <c r="G30" s="63">
        <v>-136687944.56999999</v>
      </c>
    </row>
    <row r="31" spans="2:7">
      <c r="B31" s="2"/>
      <c r="C31" s="36" t="s">
        <v>121</v>
      </c>
      <c r="D31" s="58">
        <v>-7991485.1299999999</v>
      </c>
      <c r="E31" s="23">
        <v>-2295182.7799999998</v>
      </c>
      <c r="F31" s="23">
        <v>-3042209.0300000003</v>
      </c>
      <c r="G31" s="63">
        <v>-12242612.970000001</v>
      </c>
    </row>
    <row r="32" spans="2:7">
      <c r="B32" s="2"/>
      <c r="C32" s="36" t="s">
        <v>122</v>
      </c>
      <c r="D32" s="58"/>
      <c r="E32" s="23"/>
      <c r="F32" s="23"/>
      <c r="G32" s="63"/>
    </row>
    <row r="33" spans="2:7">
      <c r="B33" s="2"/>
      <c r="C33" s="36" t="s">
        <v>123</v>
      </c>
      <c r="D33" s="58">
        <v>-2000000</v>
      </c>
      <c r="E33" s="23"/>
      <c r="F33" s="23">
        <v>-2000000</v>
      </c>
      <c r="G33" s="63">
        <v>-1000000</v>
      </c>
    </row>
    <row r="34" spans="2:7" ht="16.5">
      <c r="B34" s="2"/>
      <c r="C34" s="56" t="s">
        <v>124</v>
      </c>
      <c r="D34" s="57">
        <f>SUM(D35:D37)</f>
        <v>55007561.129999995</v>
      </c>
      <c r="E34" s="20">
        <f>SUM(E35:E37)</f>
        <v>25889979.150000002</v>
      </c>
      <c r="F34" s="20">
        <f>SUM(F35:F37)</f>
        <v>50030309.640000001</v>
      </c>
      <c r="G34" s="81">
        <f>SUM(G35:G37)</f>
        <v>64707003.349999994</v>
      </c>
    </row>
    <row r="35" spans="2:7">
      <c r="B35" s="2"/>
      <c r="C35" s="36" t="s">
        <v>125</v>
      </c>
      <c r="D35" s="58">
        <v>500000</v>
      </c>
      <c r="E35" s="23">
        <f>354644.84+0</f>
        <v>354644.84</v>
      </c>
      <c r="F35" s="23">
        <v>500000</v>
      </c>
      <c r="G35" s="63">
        <v>525000</v>
      </c>
    </row>
    <row r="36" spans="2:7">
      <c r="B36" s="2"/>
      <c r="C36" s="36" t="s">
        <v>126</v>
      </c>
      <c r="D36" s="58">
        <v>54193903.759999998</v>
      </c>
      <c r="E36" s="23">
        <v>25358135.370000001</v>
      </c>
      <c r="F36" s="23">
        <v>49216652.270000003</v>
      </c>
      <c r="G36" s="63">
        <v>61894299.369999997</v>
      </c>
    </row>
    <row r="37" spans="2:7">
      <c r="B37" s="2"/>
      <c r="C37" s="36" t="s">
        <v>127</v>
      </c>
      <c r="D37" s="58">
        <v>313657.37</v>
      </c>
      <c r="E37" s="23">
        <v>177198.94</v>
      </c>
      <c r="F37" s="23">
        <v>313657.37</v>
      </c>
      <c r="G37" s="63">
        <v>2287703.98</v>
      </c>
    </row>
    <row r="38" spans="2:7" ht="16.5">
      <c r="B38" s="2"/>
      <c r="C38" s="56" t="s">
        <v>128</v>
      </c>
      <c r="D38" s="57">
        <f>D39+D40+D41</f>
        <v>-17554627.219999999</v>
      </c>
      <c r="E38" s="20">
        <f>E39+E40+E41</f>
        <v>-8477546.5600000005</v>
      </c>
      <c r="F38" s="20">
        <f>F39+F40+F41</f>
        <v>-17554627.219999999</v>
      </c>
      <c r="G38" s="81">
        <f>G39+G40+G41</f>
        <v>-18340520.100000001</v>
      </c>
    </row>
    <row r="39" spans="2:7">
      <c r="B39" s="2"/>
      <c r="C39" s="36" t="s">
        <v>129</v>
      </c>
      <c r="D39" s="58">
        <v>-13206466.859999999</v>
      </c>
      <c r="E39" s="23">
        <v>-6453643.7999999998</v>
      </c>
      <c r="F39" s="23">
        <v>-13206466.859999999</v>
      </c>
      <c r="G39" s="63">
        <v>-13559524.42</v>
      </c>
    </row>
    <row r="40" spans="2:7">
      <c r="B40" s="2"/>
      <c r="C40" s="36" t="s">
        <v>130</v>
      </c>
      <c r="D40" s="58">
        <v>-4348160.3600000003</v>
      </c>
      <c r="E40" s="23">
        <v>-2023902.76</v>
      </c>
      <c r="F40" s="23">
        <v>-4348160.3600000003</v>
      </c>
      <c r="G40" s="63">
        <v>-4780995.68</v>
      </c>
    </row>
    <row r="41" spans="2:7">
      <c r="B41" s="2"/>
      <c r="C41" s="36" t="s">
        <v>131</v>
      </c>
      <c r="D41" s="58"/>
      <c r="E41" s="23"/>
      <c r="F41" s="23"/>
      <c r="G41" s="63"/>
    </row>
    <row r="42" spans="2:7" ht="16.5">
      <c r="B42" s="2"/>
      <c r="C42" s="56" t="s">
        <v>132</v>
      </c>
      <c r="D42" s="57">
        <f>SUM(D43:D46)</f>
        <v>-34429236.910000004</v>
      </c>
      <c r="E42" s="20">
        <f>SUM(E43:E46)</f>
        <v>-13353214.460000001</v>
      </c>
      <c r="F42" s="20">
        <f>SUM(F43:F46)</f>
        <v>-34736969.659999996</v>
      </c>
      <c r="G42" s="81">
        <f>SUM(G43:G46)</f>
        <v>-39042538</v>
      </c>
    </row>
    <row r="43" spans="2:7">
      <c r="B43" s="2"/>
      <c r="C43" s="36" t="s">
        <v>133</v>
      </c>
      <c r="D43" s="58">
        <v>-23623837.190000001</v>
      </c>
      <c r="E43" s="23">
        <f>-12006359.14-0</f>
        <v>-12006359.140000001</v>
      </c>
      <c r="F43" s="23">
        <v>-24000000</v>
      </c>
      <c r="G43" s="63">
        <v>-28436038</v>
      </c>
    </row>
    <row r="44" spans="2:7">
      <c r="B44" s="2"/>
      <c r="C44" s="36" t="s">
        <v>134</v>
      </c>
      <c r="D44" s="58">
        <v>-8000000</v>
      </c>
      <c r="E44" s="23">
        <f>-705344.83-0</f>
        <v>-705344.83</v>
      </c>
      <c r="F44" s="23">
        <v>-8000000</v>
      </c>
      <c r="G44" s="63">
        <v>-8500000</v>
      </c>
    </row>
    <row r="45" spans="2:7">
      <c r="B45" s="2"/>
      <c r="C45" s="36" t="s">
        <v>135</v>
      </c>
      <c r="D45" s="58">
        <v>-2755399.72</v>
      </c>
      <c r="E45" s="23">
        <v>-609838.68999999994</v>
      </c>
      <c r="F45" s="23">
        <v>-2686969.66</v>
      </c>
      <c r="G45" s="63">
        <v>-2056500</v>
      </c>
    </row>
    <row r="46" spans="2:7">
      <c r="B46" s="2"/>
      <c r="C46" s="36" t="s">
        <v>136</v>
      </c>
      <c r="D46" s="58">
        <v>-50000</v>
      </c>
      <c r="E46" s="23">
        <v>-31671.8</v>
      </c>
      <c r="F46" s="23">
        <v>-50000</v>
      </c>
      <c r="G46" s="63">
        <v>-50000</v>
      </c>
    </row>
    <row r="47" spans="2:7" ht="16.5">
      <c r="B47" s="2"/>
      <c r="C47" s="56" t="s">
        <v>137</v>
      </c>
      <c r="D47" s="57">
        <f>SUM(D48:D50)</f>
        <v>-16002411.540000001</v>
      </c>
      <c r="E47" s="20">
        <f>SUM(E48:E50)</f>
        <v>-5974287.5099999998</v>
      </c>
      <c r="F47" s="20">
        <f>SUM(F48:F50)</f>
        <v>-16042892.58</v>
      </c>
      <c r="G47" s="81">
        <f>SUM(G48:G50)</f>
        <v>-16850000</v>
      </c>
    </row>
    <row r="48" spans="2:7">
      <c r="B48" s="2"/>
      <c r="C48" s="36" t="s">
        <v>138</v>
      </c>
      <c r="D48" s="58">
        <v>-44066.18</v>
      </c>
      <c r="E48" s="23">
        <f>-
61273.67</f>
        <v>-61273.67</v>
      </c>
      <c r="F48" s="23">
        <v>-120000</v>
      </c>
      <c r="G48" s="63">
        <v>-150000</v>
      </c>
    </row>
    <row r="49" spans="2:7">
      <c r="B49" s="2"/>
      <c r="C49" s="36" t="s">
        <v>139</v>
      </c>
      <c r="D49" s="58">
        <v>-655452.78</v>
      </c>
      <c r="E49" s="23">
        <v>-231434.07</v>
      </c>
      <c r="F49" s="23">
        <v>-620000</v>
      </c>
      <c r="G49" s="63">
        <v>-700000</v>
      </c>
    </row>
    <row r="50" spans="2:7">
      <c r="B50" s="2"/>
      <c r="C50" s="36" t="s">
        <v>140</v>
      </c>
      <c r="D50" s="58">
        <v>-15302892.58</v>
      </c>
      <c r="E50" s="23">
        <v>-5681579.7699999996</v>
      </c>
      <c r="F50" s="23">
        <v>-15302892.58</v>
      </c>
      <c r="G50" s="63">
        <v>-16000000</v>
      </c>
    </row>
    <row r="51" spans="2:7" ht="16.5">
      <c r="B51" s="2"/>
      <c r="C51" s="56" t="s">
        <v>141</v>
      </c>
      <c r="D51" s="58">
        <v>10000000</v>
      </c>
      <c r="E51" s="23">
        <v>4349991.59</v>
      </c>
      <c r="F51" s="23">
        <v>10000000</v>
      </c>
      <c r="G51" s="63">
        <v>12000000</v>
      </c>
    </row>
    <row r="52" spans="2:7" ht="16.5">
      <c r="B52" s="2"/>
      <c r="C52" s="56" t="s">
        <v>142</v>
      </c>
      <c r="D52" s="58">
        <v>1000000</v>
      </c>
      <c r="E52" s="23">
        <v>366483.41</v>
      </c>
      <c r="F52" s="23">
        <v>1000000</v>
      </c>
      <c r="G52" s="63">
        <v>1000000</v>
      </c>
    </row>
    <row r="53" spans="2:7" ht="16.5">
      <c r="B53" s="2"/>
      <c r="C53" s="56" t="s">
        <v>143</v>
      </c>
      <c r="D53" s="57">
        <f>SUM(D54:D55)</f>
        <v>285000</v>
      </c>
      <c r="E53" s="20">
        <f>SUM(E54:E55)</f>
        <v>19947.64</v>
      </c>
      <c r="F53" s="20">
        <f>SUM(F54:F55)</f>
        <v>335000</v>
      </c>
      <c r="G53" s="81">
        <f>SUM(G54:G55)</f>
        <v>350000</v>
      </c>
    </row>
    <row r="54" spans="2:7">
      <c r="B54" s="2"/>
      <c r="C54" s="36" t="s">
        <v>144</v>
      </c>
      <c r="D54" s="58">
        <v>385000</v>
      </c>
      <c r="E54" s="23"/>
      <c r="F54" s="23">
        <v>385000</v>
      </c>
      <c r="G54" s="63">
        <v>400000</v>
      </c>
    </row>
    <row r="55" spans="2:7">
      <c r="B55" s="2"/>
      <c r="C55" s="36" t="s">
        <v>145</v>
      </c>
      <c r="D55" s="58">
        <v>-100000</v>
      </c>
      <c r="E55" s="23">
        <v>19947.64</v>
      </c>
      <c r="F55" s="23">
        <v>-50000</v>
      </c>
      <c r="G55" s="63">
        <v>-50000</v>
      </c>
    </row>
    <row r="56" spans="2:7" ht="16.5">
      <c r="B56" s="2"/>
      <c r="C56" s="56" t="s">
        <v>146</v>
      </c>
      <c r="D56" s="82">
        <f>SUM(D57:D58)</f>
        <v>0</v>
      </c>
      <c r="E56" s="41">
        <f>SUM(E57:E58)</f>
        <v>0</v>
      </c>
      <c r="F56" s="41">
        <f>SUM(F57:F58)</f>
        <v>0</v>
      </c>
      <c r="G56" s="83">
        <f>SUM(G57:G58)</f>
        <v>0</v>
      </c>
    </row>
    <row r="57" spans="2:7">
      <c r="B57" s="2"/>
      <c r="C57" s="36" t="s">
        <v>147</v>
      </c>
      <c r="D57" s="58"/>
      <c r="E57" s="23"/>
      <c r="F57" s="23"/>
      <c r="G57" s="63"/>
    </row>
    <row r="58" spans="2:7">
      <c r="B58" s="2"/>
      <c r="C58" s="36" t="s">
        <v>148</v>
      </c>
      <c r="D58" s="58"/>
      <c r="E58" s="23"/>
      <c r="F58" s="23"/>
      <c r="G58" s="63"/>
    </row>
    <row r="59" spans="2:7" ht="16.5">
      <c r="B59" s="2"/>
      <c r="C59" s="59" t="s">
        <v>149</v>
      </c>
      <c r="D59" s="84">
        <f>D14+D27+D28+D29+D34+D38+D42+D47+D51+D52+D53+D56</f>
        <v>4146308.1599999946</v>
      </c>
      <c r="E59" s="60">
        <f>E14+E27+E28+E29+E34+E38+E42+E47+E51+E52+E53+E56</f>
        <v>8300791.3499999987</v>
      </c>
      <c r="F59" s="60">
        <f>F14+F27+F28+F29+F34+F38+F42+F47+F51+F52+F53+F56</f>
        <v>3820118.9800000023</v>
      </c>
      <c r="G59" s="85">
        <f>G14+G27+G28+G29+G34+G38+G42+G47+G51+G52+G53+G56</f>
        <v>6841579.9499999806</v>
      </c>
    </row>
    <row r="60" spans="2:7" ht="16.5">
      <c r="B60" s="2"/>
      <c r="C60" s="62" t="s">
        <v>150</v>
      </c>
      <c r="D60" s="221">
        <f>D61+D64+D67</f>
        <v>100000</v>
      </c>
      <c r="E60" s="44">
        <f>E61+E64+E67</f>
        <v>54727.79</v>
      </c>
      <c r="F60" s="44">
        <f>F61+F64+F67</f>
        <v>100000</v>
      </c>
      <c r="G60" s="89">
        <f>G61+G64+G67</f>
        <v>80000</v>
      </c>
    </row>
    <row r="61" spans="2:7">
      <c r="B61" s="2"/>
      <c r="C61" s="36" t="s">
        <v>151</v>
      </c>
      <c r="D61" s="57">
        <f>SUM(D62:D63)</f>
        <v>0</v>
      </c>
      <c r="E61" s="20">
        <f>SUM(E62:E63)</f>
        <v>0</v>
      </c>
      <c r="F61" s="20">
        <f>SUM(F62:F63)</f>
        <v>0</v>
      </c>
      <c r="G61" s="81">
        <f>SUM(G62:G63)</f>
        <v>0</v>
      </c>
    </row>
    <row r="62" spans="2:7">
      <c r="B62" s="2"/>
      <c r="C62" s="36" t="s">
        <v>152</v>
      </c>
      <c r="D62" s="58"/>
      <c r="E62" s="23"/>
      <c r="F62" s="23"/>
      <c r="G62" s="63"/>
    </row>
    <row r="63" spans="2:7">
      <c r="B63" s="2"/>
      <c r="C63" s="36" t="s">
        <v>153</v>
      </c>
      <c r="D63" s="58"/>
      <c r="E63" s="23"/>
      <c r="F63" s="23"/>
      <c r="G63" s="63"/>
    </row>
    <row r="64" spans="2:7">
      <c r="B64" s="2"/>
      <c r="C64" s="36" t="s">
        <v>154</v>
      </c>
      <c r="D64" s="57">
        <f>SUM(D65:D66)</f>
        <v>100000</v>
      </c>
      <c r="E64" s="20">
        <f>SUM(E65:E66)</f>
        <v>54727.79</v>
      </c>
      <c r="F64" s="20">
        <f>SUM(F65:F66)</f>
        <v>100000</v>
      </c>
      <c r="G64" s="81">
        <f>SUM(G65:G66)</f>
        <v>80000</v>
      </c>
    </row>
    <row r="65" spans="2:7">
      <c r="B65" s="2"/>
      <c r="C65" s="36" t="s">
        <v>155</v>
      </c>
      <c r="D65" s="58"/>
      <c r="E65" s="23"/>
      <c r="F65" s="23"/>
      <c r="G65" s="63"/>
    </row>
    <row r="66" spans="2:7">
      <c r="B66" s="2"/>
      <c r="C66" s="36" t="s">
        <v>156</v>
      </c>
      <c r="D66" s="58">
        <v>100000</v>
      </c>
      <c r="E66" s="23">
        <v>54727.79</v>
      </c>
      <c r="F66" s="23">
        <v>100000</v>
      </c>
      <c r="G66" s="63">
        <v>80000</v>
      </c>
    </row>
    <row r="67" spans="2:7">
      <c r="B67" s="2"/>
      <c r="C67" s="36" t="s">
        <v>157</v>
      </c>
      <c r="D67" s="58"/>
      <c r="E67" s="23"/>
      <c r="F67" s="23"/>
      <c r="G67" s="63"/>
    </row>
    <row r="68" spans="2:7" ht="16.5">
      <c r="B68" s="2"/>
      <c r="C68" s="56" t="s">
        <v>158</v>
      </c>
      <c r="D68" s="221">
        <f>SUM(D69:D71)</f>
        <v>-5000</v>
      </c>
      <c r="E68" s="44">
        <f>SUM(E69:E71)</f>
        <v>-1600.26</v>
      </c>
      <c r="F68" s="44">
        <f>SUM(F69:F71)</f>
        <v>-5000</v>
      </c>
      <c r="G68" s="89">
        <f>SUM(G69:G71)</f>
        <v>-5000</v>
      </c>
    </row>
    <row r="69" spans="2:7">
      <c r="B69" s="2"/>
      <c r="C69" s="36" t="s">
        <v>159</v>
      </c>
      <c r="D69" s="58"/>
      <c r="E69" s="23"/>
      <c r="F69" s="23"/>
      <c r="G69" s="63"/>
    </row>
    <row r="70" spans="2:7">
      <c r="B70" s="2"/>
      <c r="C70" s="36" t="s">
        <v>160</v>
      </c>
      <c r="D70" s="58">
        <v>-5000</v>
      </c>
      <c r="E70" s="23">
        <v>-1600.26</v>
      </c>
      <c r="F70" s="23">
        <v>-5000</v>
      </c>
      <c r="G70" s="63">
        <v>-5000</v>
      </c>
    </row>
    <row r="71" spans="2:7">
      <c r="B71" s="2"/>
      <c r="C71" s="36" t="s">
        <v>161</v>
      </c>
      <c r="D71" s="58"/>
      <c r="E71" s="23"/>
      <c r="F71" s="23"/>
      <c r="G71" s="63"/>
    </row>
    <row r="72" spans="2:7" ht="16.5">
      <c r="B72" s="2"/>
      <c r="C72" s="56" t="s">
        <v>162</v>
      </c>
      <c r="D72" s="221">
        <f>SUM(D73:D74)</f>
        <v>0</v>
      </c>
      <c r="E72" s="44">
        <f>SUM(E73:E74)</f>
        <v>0</v>
      </c>
      <c r="F72" s="44">
        <f>SUM(F73:F74)</f>
        <v>0</v>
      </c>
      <c r="G72" s="89">
        <f>SUM(G73:G74)</f>
        <v>0</v>
      </c>
    </row>
    <row r="73" spans="2:7">
      <c r="B73" s="2"/>
      <c r="C73" s="36" t="s">
        <v>163</v>
      </c>
      <c r="D73" s="58"/>
      <c r="E73" s="23"/>
      <c r="F73" s="23"/>
      <c r="G73" s="63"/>
    </row>
    <row r="74" spans="2:7">
      <c r="B74" s="2"/>
      <c r="C74" s="36" t="s">
        <v>164</v>
      </c>
      <c r="D74" s="58"/>
      <c r="E74" s="23"/>
      <c r="F74" s="23"/>
      <c r="G74" s="63"/>
    </row>
    <row r="75" spans="2:7" ht="16.5">
      <c r="B75" s="2"/>
      <c r="C75" s="56" t="s">
        <v>165</v>
      </c>
      <c r="D75" s="58"/>
      <c r="E75" s="23"/>
      <c r="F75" s="23"/>
      <c r="G75" s="63"/>
    </row>
    <row r="76" spans="2:7" ht="16.5">
      <c r="B76" s="2"/>
      <c r="C76" s="56" t="s">
        <v>166</v>
      </c>
      <c r="D76" s="57">
        <f>SUM(D77:D78)</f>
        <v>0</v>
      </c>
      <c r="E76" s="20">
        <f>SUM(E77:E78)</f>
        <v>0</v>
      </c>
      <c r="F76" s="20">
        <f>SUM(F77:F78)</f>
        <v>0</v>
      </c>
      <c r="G76" s="81">
        <f>SUM(G77:G78)</f>
        <v>0</v>
      </c>
    </row>
    <row r="77" spans="2:7">
      <c r="B77" s="2"/>
      <c r="C77" s="36" t="s">
        <v>144</v>
      </c>
      <c r="D77" s="58"/>
      <c r="E77" s="23"/>
      <c r="F77" s="23"/>
      <c r="G77" s="63"/>
    </row>
    <row r="78" spans="2:7">
      <c r="B78" s="2"/>
      <c r="C78" s="36" t="s">
        <v>167</v>
      </c>
      <c r="D78" s="222"/>
      <c r="E78" s="64"/>
      <c r="F78" s="64"/>
      <c r="G78" s="230"/>
    </row>
    <row r="79" spans="2:7" ht="16.5">
      <c r="B79" s="2"/>
      <c r="C79" s="65" t="s">
        <v>168</v>
      </c>
      <c r="D79" s="84">
        <f>D60+D68+D72+D75+D76</f>
        <v>95000</v>
      </c>
      <c r="E79" s="60">
        <f>E60+E68+E72+E75+E76</f>
        <v>53127.53</v>
      </c>
      <c r="F79" s="60">
        <f>F60+F68+F72+F75+F76</f>
        <v>95000</v>
      </c>
      <c r="G79" s="85">
        <f>G60+G68+G72+G75+G76</f>
        <v>75000</v>
      </c>
    </row>
    <row r="80" spans="2:7" ht="16.5">
      <c r="B80" s="2"/>
      <c r="C80" s="65" t="s">
        <v>169</v>
      </c>
      <c r="D80" s="84">
        <f>D59+D79</f>
        <v>4241308.1599999946</v>
      </c>
      <c r="E80" s="60">
        <f>E59+E79</f>
        <v>8353918.879999999</v>
      </c>
      <c r="F80" s="60">
        <f>F59+F79</f>
        <v>3915118.9800000023</v>
      </c>
      <c r="G80" s="85">
        <f>G59+G79</f>
        <v>6916579.9499999806</v>
      </c>
    </row>
    <row r="81" spans="2:7" ht="16.5">
      <c r="B81" s="2"/>
      <c r="C81" s="56" t="s">
        <v>170</v>
      </c>
      <c r="D81" s="223">
        <v>-149720.79999999999</v>
      </c>
      <c r="E81" s="228"/>
      <c r="F81" s="228">
        <f>ROUND(-H81,2)</f>
        <v>0</v>
      </c>
      <c r="G81" s="227">
        <v>-182500</v>
      </c>
    </row>
    <row r="82" spans="2:7" ht="16.5">
      <c r="B82" s="2"/>
      <c r="C82" s="65" t="s">
        <v>171</v>
      </c>
      <c r="D82" s="84">
        <f>D80+D81</f>
        <v>4091587.3599999947</v>
      </c>
      <c r="E82" s="60">
        <f>E80+E81</f>
        <v>8353918.879999999</v>
      </c>
      <c r="F82" s="60">
        <f>F80+F81</f>
        <v>3915118.9800000023</v>
      </c>
      <c r="G82" s="85">
        <f>G80+G81</f>
        <v>6734079.9499999806</v>
      </c>
    </row>
    <row r="83" spans="2:7" ht="16.5">
      <c r="B83" s="2"/>
      <c r="C83" s="34"/>
      <c r="D83" s="88"/>
      <c r="E83" s="43"/>
      <c r="F83" s="43"/>
      <c r="G83" s="220"/>
    </row>
    <row r="84" spans="2:7" ht="15.75">
      <c r="B84" s="2"/>
      <c r="C84" s="38" t="s">
        <v>172</v>
      </c>
      <c r="D84" s="80"/>
      <c r="E84" s="30"/>
      <c r="F84" s="30"/>
      <c r="G84" s="229"/>
    </row>
    <row r="85" spans="2:7" ht="16.5">
      <c r="B85" s="2"/>
      <c r="C85" s="56" t="s">
        <v>173</v>
      </c>
      <c r="D85" s="58"/>
      <c r="E85" s="23"/>
      <c r="F85" s="23"/>
      <c r="G85" s="63"/>
    </row>
    <row r="86" spans="2:7" ht="17.25" thickBot="1">
      <c r="B86" s="2"/>
      <c r="C86" s="56"/>
      <c r="D86" s="224"/>
      <c r="E86" s="43"/>
      <c r="F86" s="43"/>
      <c r="G86" s="220"/>
    </row>
    <row r="87" spans="2:7" ht="19.5" thickTop="1" thickBot="1">
      <c r="B87" s="2"/>
      <c r="C87" s="66" t="s">
        <v>174</v>
      </c>
      <c r="D87" s="225">
        <f>D82+D85</f>
        <v>4091587.3599999947</v>
      </c>
      <c r="E87" s="67">
        <f>E82+E85</f>
        <v>8353918.879999999</v>
      </c>
      <c r="F87" s="67">
        <f>F82+F85</f>
        <v>3915118.9800000023</v>
      </c>
      <c r="G87" s="231">
        <f>G82+G85</f>
        <v>6734079.9499999806</v>
      </c>
    </row>
    <row r="88" spans="2:7" ht="17.25">
      <c r="B88" s="2"/>
      <c r="C88" s="68"/>
      <c r="D88" s="69"/>
      <c r="E88" s="70"/>
      <c r="F88" s="3"/>
      <c r="G88" s="3"/>
    </row>
    <row r="89" spans="2:7">
      <c r="B89" s="2"/>
      <c r="C89" s="71" t="s">
        <v>175</v>
      </c>
      <c r="D89" s="71"/>
      <c r="E89" s="5"/>
      <c r="F89" s="5"/>
      <c r="G89" s="5"/>
    </row>
    <row r="90" spans="2:7">
      <c r="B90" s="2"/>
      <c r="C90" s="71"/>
      <c r="D90" s="72"/>
      <c r="E90" s="73"/>
      <c r="F90" s="3"/>
      <c r="G90" s="3"/>
    </row>
    <row r="91" spans="2:7">
      <c r="B91" s="2"/>
      <c r="C91" s="2"/>
      <c r="D91" s="2"/>
      <c r="E91" s="3"/>
      <c r="F91" s="3"/>
      <c r="G91" s="3"/>
    </row>
    <row r="92" spans="2:7">
      <c r="B92" s="278" t="s">
        <v>176</v>
      </c>
      <c r="C92" s="279"/>
      <c r="D92" s="74">
        <f>SUM(D93:D95)</f>
        <v>-2000</v>
      </c>
      <c r="E92" s="74">
        <f>SUM(E93:E95)</f>
        <v>-5060.92</v>
      </c>
      <c r="F92" s="74">
        <f>SUM(F93:F95)</f>
        <v>478.23999999999978</v>
      </c>
      <c r="G92" s="74">
        <f>SUM(G93:G95)</f>
        <v>500</v>
      </c>
    </row>
    <row r="93" spans="2:7">
      <c r="B93" s="280" t="s">
        <v>177</v>
      </c>
      <c r="C93" s="281"/>
      <c r="D93" s="23"/>
      <c r="E93" s="23">
        <v>0</v>
      </c>
      <c r="F93" s="23"/>
      <c r="G93" s="23"/>
    </row>
    <row r="94" spans="2:7">
      <c r="B94" s="75" t="s">
        <v>178</v>
      </c>
      <c r="C94" s="76"/>
      <c r="D94" s="77">
        <v>8000</v>
      </c>
      <c r="E94" s="77">
        <v>2460.84</v>
      </c>
      <c r="F94" s="77">
        <v>8000</v>
      </c>
      <c r="G94" s="77">
        <v>8000</v>
      </c>
    </row>
    <row r="95" spans="2:7">
      <c r="B95" s="280" t="s">
        <v>179</v>
      </c>
      <c r="C95" s="281"/>
      <c r="D95" s="78">
        <v>-10000</v>
      </c>
      <c r="E95" s="78">
        <v>-7521.76</v>
      </c>
      <c r="F95" s="78">
        <v>-7521.76</v>
      </c>
      <c r="G95" s="78">
        <v>-7500</v>
      </c>
    </row>
    <row r="96" spans="2:7">
      <c r="B96" s="2"/>
      <c r="C96" s="2"/>
      <c r="D96" s="3"/>
      <c r="E96" s="2"/>
      <c r="F96" s="2"/>
      <c r="G96" s="2"/>
    </row>
  </sheetData>
  <mergeCells count="4">
    <mergeCell ref="C4:F4"/>
    <mergeCell ref="B92:C92"/>
    <mergeCell ref="B93:C93"/>
    <mergeCell ref="B95:C95"/>
  </mergeCells>
  <conditionalFormatting sqref="D43:D46">
    <cfRule type="cellIs" dxfId="52" priority="16" stopIfTrue="1" operator="greaterThan">
      <formula>0</formula>
    </cfRule>
  </conditionalFormatting>
  <conditionalFormatting sqref="D16:G19 D62:G63">
    <cfRule type="cellIs" dxfId="51" priority="35" stopIfTrue="1" operator="lessThan">
      <formula>0</formula>
    </cfRule>
  </conditionalFormatting>
  <conditionalFormatting sqref="D21:G26">
    <cfRule type="cellIs" dxfId="50" priority="11" stopIfTrue="1" operator="lessThan">
      <formula>0</formula>
    </cfRule>
  </conditionalFormatting>
  <conditionalFormatting sqref="D28:G28">
    <cfRule type="cellIs" dxfId="49" priority="32" stopIfTrue="1" operator="lessThan">
      <formula>0</formula>
    </cfRule>
  </conditionalFormatting>
  <conditionalFormatting sqref="D32:G32">
    <cfRule type="cellIs" dxfId="48" priority="22" stopIfTrue="1" operator="greaterThan">
      <formula>0</formula>
    </cfRule>
  </conditionalFormatting>
  <conditionalFormatting sqref="D39:G40">
    <cfRule type="cellIs" dxfId="47" priority="9" stopIfTrue="1" operator="greaterThan">
      <formula>0</formula>
    </cfRule>
  </conditionalFormatting>
  <conditionalFormatting sqref="D48:G50">
    <cfRule type="cellIs" dxfId="46" priority="7" stopIfTrue="1" operator="greaterThan">
      <formula>0</formula>
    </cfRule>
  </conditionalFormatting>
  <conditionalFormatting sqref="D51:G52">
    <cfRule type="cellIs" dxfId="45" priority="5" stopIfTrue="1" operator="lessThan">
      <formula>0</formula>
    </cfRule>
  </conditionalFormatting>
  <conditionalFormatting sqref="D57:G57">
    <cfRule type="cellIs" dxfId="44" priority="27" stopIfTrue="1" operator="lessThan">
      <formula>0</formula>
    </cfRule>
  </conditionalFormatting>
  <conditionalFormatting sqref="D58:G58">
    <cfRule type="cellIs" dxfId="43" priority="28" stopIfTrue="1" operator="greaterThan">
      <formula>0</formula>
    </cfRule>
  </conditionalFormatting>
  <conditionalFormatting sqref="D65:G67">
    <cfRule type="cellIs" dxfId="42" priority="4" stopIfTrue="1" operator="lessThan">
      <formula>0</formula>
    </cfRule>
  </conditionalFormatting>
  <conditionalFormatting sqref="D69:G71">
    <cfRule type="cellIs" dxfId="41" priority="36" stopIfTrue="1" operator="greaterThan">
      <formula>0</formula>
    </cfRule>
  </conditionalFormatting>
  <conditionalFormatting sqref="E43:E46">
    <cfRule type="cellIs" dxfId="40" priority="3" stopIfTrue="1" operator="greaterThan">
      <formula>0</formula>
    </cfRule>
  </conditionalFormatting>
  <conditionalFormatting sqref="F43:F46">
    <cfRule type="cellIs" dxfId="39" priority="2" stopIfTrue="1" operator="greaterThan">
      <formula>0</formula>
    </cfRule>
  </conditionalFormatting>
  <conditionalFormatting sqref="G43:G46">
    <cfRule type="cellIs" dxfId="38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0"/>
  <sheetViews>
    <sheetView topLeftCell="A44" workbookViewId="0">
      <selection activeCell="C80" sqref="C80:E81"/>
    </sheetView>
  </sheetViews>
  <sheetFormatPr baseColWidth="10" defaultRowHeight="14.25"/>
  <cols>
    <col min="2" max="2" width="60.625" customWidth="1"/>
    <col min="3" max="3" width="19.75" customWidth="1"/>
    <col min="4" max="4" width="18.875" customWidth="1"/>
    <col min="5" max="5" width="18.25" customWidth="1"/>
  </cols>
  <sheetData>
    <row r="4" spans="2:5" ht="15.75">
      <c r="B4" s="1" t="s">
        <v>340</v>
      </c>
      <c r="C4" s="1"/>
      <c r="D4" s="3"/>
      <c r="E4" s="3"/>
    </row>
    <row r="5" spans="2:5" ht="16.5" thickBot="1">
      <c r="B5" s="1"/>
      <c r="C5" s="1"/>
      <c r="D5" s="3"/>
      <c r="E5" s="3"/>
    </row>
    <row r="6" spans="2:5" ht="15.75">
      <c r="B6" s="236"/>
      <c r="C6" s="209" t="s">
        <v>3</v>
      </c>
      <c r="D6" s="240" t="s">
        <v>5</v>
      </c>
      <c r="E6" s="241" t="s">
        <v>4</v>
      </c>
    </row>
    <row r="7" spans="2:5" ht="16.5" thickBot="1">
      <c r="B7" s="237"/>
      <c r="C7" s="211">
        <v>44561</v>
      </c>
      <c r="D7" s="211">
        <v>44926</v>
      </c>
      <c r="E7" s="234">
        <v>45291</v>
      </c>
    </row>
    <row r="8" spans="2:5" ht="16.5" thickTop="1">
      <c r="B8" s="238"/>
      <c r="C8" s="50"/>
      <c r="D8" s="242"/>
      <c r="E8" s="243"/>
    </row>
    <row r="9" spans="2:5" ht="15.75">
      <c r="B9" s="38" t="s">
        <v>180</v>
      </c>
      <c r="C9" s="30"/>
      <c r="D9" s="20"/>
      <c r="E9" s="27"/>
    </row>
    <row r="10" spans="2:5" ht="16.5">
      <c r="B10" s="56" t="s">
        <v>181</v>
      </c>
      <c r="C10" s="20">
        <v>4241308.1599999946</v>
      </c>
      <c r="D10" s="20">
        <v>3915118.9800000023</v>
      </c>
      <c r="E10" s="27">
        <v>6916579.9499999806</v>
      </c>
    </row>
    <row r="11" spans="2:5" ht="16.5">
      <c r="B11" s="56" t="s">
        <v>182</v>
      </c>
      <c r="C11" s="20">
        <v>9377811.2599999979</v>
      </c>
      <c r="D11" s="20">
        <v>9299862.2399999984</v>
      </c>
      <c r="E11" s="27">
        <v>6481500</v>
      </c>
    </row>
    <row r="12" spans="2:5">
      <c r="B12" s="36" t="s">
        <v>183</v>
      </c>
      <c r="C12" s="20">
        <v>16002411.540000001</v>
      </c>
      <c r="D12" s="20">
        <v>16042892.58</v>
      </c>
      <c r="E12" s="27">
        <v>16850000</v>
      </c>
    </row>
    <row r="13" spans="2:5">
      <c r="B13" s="36" t="s">
        <v>184</v>
      </c>
      <c r="C13" s="23">
        <v>1615000</v>
      </c>
      <c r="D13" s="23">
        <v>1615000</v>
      </c>
      <c r="E13" s="24">
        <v>600000</v>
      </c>
    </row>
    <row r="14" spans="2:5">
      <c r="B14" s="36" t="s">
        <v>185</v>
      </c>
      <c r="C14" s="23">
        <v>1755399.7200000002</v>
      </c>
      <c r="D14" s="23">
        <v>1686969.6600000001</v>
      </c>
      <c r="E14" s="24">
        <v>1056500</v>
      </c>
    </row>
    <row r="15" spans="2:5">
      <c r="B15" s="36" t="s">
        <v>186</v>
      </c>
      <c r="C15" s="20">
        <v>-10000000</v>
      </c>
      <c r="D15" s="20">
        <v>-10000000</v>
      </c>
      <c r="E15" s="27">
        <v>-12000000</v>
      </c>
    </row>
    <row r="16" spans="2:5">
      <c r="B16" s="36" t="s">
        <v>187</v>
      </c>
      <c r="C16" s="20">
        <v>100000</v>
      </c>
      <c r="D16" s="20">
        <v>50000</v>
      </c>
      <c r="E16" s="27">
        <v>50000</v>
      </c>
    </row>
    <row r="17" spans="2:5">
      <c r="B17" s="36" t="s">
        <v>188</v>
      </c>
      <c r="C17" s="20">
        <v>0</v>
      </c>
      <c r="D17" s="20">
        <v>0</v>
      </c>
      <c r="E17" s="27">
        <v>0</v>
      </c>
    </row>
    <row r="18" spans="2:5">
      <c r="B18" s="36" t="s">
        <v>189</v>
      </c>
      <c r="C18" s="20">
        <v>-100000</v>
      </c>
      <c r="D18" s="20">
        <v>-100000</v>
      </c>
      <c r="E18" s="27">
        <v>-80000</v>
      </c>
    </row>
    <row r="19" spans="2:5">
      <c r="B19" s="36" t="s">
        <v>190</v>
      </c>
      <c r="C19" s="20">
        <v>5000</v>
      </c>
      <c r="D19" s="20">
        <v>5000</v>
      </c>
      <c r="E19" s="27">
        <v>5000</v>
      </c>
    </row>
    <row r="20" spans="2:5">
      <c r="B20" s="36" t="s">
        <v>191</v>
      </c>
      <c r="C20" s="30">
        <v>0</v>
      </c>
      <c r="D20" s="30">
        <v>0</v>
      </c>
      <c r="E20" s="51">
        <v>0</v>
      </c>
    </row>
    <row r="21" spans="2:5">
      <c r="B21" s="36" t="s">
        <v>192</v>
      </c>
      <c r="C21" s="30">
        <v>0</v>
      </c>
      <c r="D21" s="30">
        <v>0</v>
      </c>
      <c r="E21" s="51">
        <v>0</v>
      </c>
    </row>
    <row r="22" spans="2:5">
      <c r="B22" s="36" t="s">
        <v>193</v>
      </c>
      <c r="C22" s="23"/>
      <c r="D22" s="23"/>
      <c r="E22" s="24"/>
    </row>
    <row r="23" spans="2:5" ht="16.5">
      <c r="B23" s="239" t="s">
        <v>194</v>
      </c>
      <c r="C23" s="20">
        <v>31545963.220000003</v>
      </c>
      <c r="D23" s="20">
        <v>33819161.480000027</v>
      </c>
      <c r="E23" s="27">
        <v>-18498162.150000006</v>
      </c>
    </row>
    <row r="24" spans="2:5">
      <c r="B24" s="36" t="s">
        <v>195</v>
      </c>
      <c r="C24" s="23">
        <v>-40000</v>
      </c>
      <c r="D24" s="23">
        <v>-50000</v>
      </c>
      <c r="E24" s="24"/>
    </row>
    <row r="25" spans="2:5">
      <c r="B25" s="36" t="s">
        <v>196</v>
      </c>
      <c r="C25" s="23">
        <v>31573776.109999999</v>
      </c>
      <c r="D25" s="23">
        <v>25760523.360000029</v>
      </c>
      <c r="E25" s="24">
        <v>-21020573.320000008</v>
      </c>
    </row>
    <row r="26" spans="2:5">
      <c r="B26" s="36" t="s">
        <v>197</v>
      </c>
      <c r="C26" s="23"/>
      <c r="D26" s="23"/>
      <c r="E26" s="24"/>
    </row>
    <row r="27" spans="2:5">
      <c r="B27" s="36" t="s">
        <v>198</v>
      </c>
      <c r="C27" s="23">
        <v>1055488.8800000027</v>
      </c>
      <c r="D27" s="23">
        <v>8108638.1199999973</v>
      </c>
      <c r="E27" s="24">
        <v>2522411.1700000018</v>
      </c>
    </row>
    <row r="28" spans="2:5">
      <c r="B28" s="36" t="s">
        <v>199</v>
      </c>
      <c r="C28" s="23">
        <v>-1043301.77</v>
      </c>
      <c r="D28" s="23">
        <v>0</v>
      </c>
      <c r="E28" s="24">
        <v>0</v>
      </c>
    </row>
    <row r="29" spans="2:5">
      <c r="B29" s="36" t="s">
        <v>200</v>
      </c>
      <c r="C29" s="23"/>
      <c r="D29" s="23"/>
      <c r="E29" s="24"/>
    </row>
    <row r="30" spans="2:5" ht="16.5">
      <c r="B30" s="56" t="s">
        <v>201</v>
      </c>
      <c r="C30" s="20">
        <v>-24584216.949999999</v>
      </c>
      <c r="D30" s="20">
        <v>-14042522.250000035</v>
      </c>
      <c r="E30" s="27">
        <v>3084107.1100000292</v>
      </c>
    </row>
    <row r="31" spans="2:5">
      <c r="B31" s="36" t="s">
        <v>202</v>
      </c>
      <c r="C31" s="23">
        <v>-5000</v>
      </c>
      <c r="D31" s="23">
        <v>-5000</v>
      </c>
      <c r="E31" s="24">
        <v>-5000</v>
      </c>
    </row>
    <row r="32" spans="2:5">
      <c r="B32" s="36" t="s">
        <v>203</v>
      </c>
      <c r="C32" s="23"/>
      <c r="D32" s="23"/>
      <c r="E32" s="24"/>
    </row>
    <row r="33" spans="2:5">
      <c r="B33" s="36" t="s">
        <v>204</v>
      </c>
      <c r="C33" s="23">
        <v>100000</v>
      </c>
      <c r="D33" s="23">
        <v>100000</v>
      </c>
      <c r="E33" s="24">
        <v>80000</v>
      </c>
    </row>
    <row r="34" spans="2:5">
      <c r="B34" s="36" t="s">
        <v>205</v>
      </c>
      <c r="C34" s="41">
        <v>2000</v>
      </c>
      <c r="D34" s="41">
        <v>-478.23999999999978</v>
      </c>
      <c r="E34" s="42">
        <v>-500</v>
      </c>
    </row>
    <row r="35" spans="2:5">
      <c r="B35" s="36" t="s">
        <v>206</v>
      </c>
      <c r="C35" s="77">
        <v>-24681216.949999999</v>
      </c>
      <c r="D35" s="77">
        <v>-14137044.010000035</v>
      </c>
      <c r="E35" s="252">
        <v>3009607.1100000292</v>
      </c>
    </row>
    <row r="36" spans="2:5" ht="16.5">
      <c r="B36" s="65" t="s">
        <v>207</v>
      </c>
      <c r="C36" s="60">
        <f>C10+C11+C23+C30</f>
        <v>20580865.689999994</v>
      </c>
      <c r="D36" s="60">
        <f>D10+D11+D23+D30</f>
        <v>32991620.449999988</v>
      </c>
      <c r="E36" s="61">
        <f>E10+E11+E23+E30</f>
        <v>-2015975.0899999961</v>
      </c>
    </row>
    <row r="37" spans="2:5" ht="16.5">
      <c r="B37" s="56"/>
      <c r="C37" s="244"/>
      <c r="D37" s="244"/>
      <c r="E37" s="253"/>
    </row>
    <row r="38" spans="2:5" ht="15.75">
      <c r="B38" s="38" t="s">
        <v>208</v>
      </c>
      <c r="C38" s="30"/>
      <c r="D38" s="30"/>
      <c r="E38" s="51"/>
    </row>
    <row r="39" spans="2:5" ht="16.5">
      <c r="B39" s="56" t="s">
        <v>209</v>
      </c>
      <c r="C39" s="20">
        <f>SUM(C40:C45)</f>
        <v>-96015106.739999995</v>
      </c>
      <c r="D39" s="20">
        <v>-91932864.890000001</v>
      </c>
      <c r="E39" s="27">
        <v>-145112944.56999999</v>
      </c>
    </row>
    <row r="40" spans="2:5">
      <c r="B40" s="36" t="s">
        <v>210</v>
      </c>
      <c r="C40" s="23">
        <v>-210000</v>
      </c>
      <c r="D40" s="23">
        <v>-210000</v>
      </c>
      <c r="E40" s="24">
        <v>-120000</v>
      </c>
    </row>
    <row r="41" spans="2:5">
      <c r="B41" s="36" t="s">
        <v>211</v>
      </c>
      <c r="C41" s="23">
        <v>-370000</v>
      </c>
      <c r="D41" s="23">
        <v>-620000</v>
      </c>
      <c r="E41" s="24">
        <v>-390000</v>
      </c>
    </row>
    <row r="42" spans="2:5">
      <c r="B42" s="36" t="s">
        <v>212</v>
      </c>
      <c r="C42" s="23">
        <v>-94385106.739999995</v>
      </c>
      <c r="D42" s="23">
        <v>-90592864.890000001</v>
      </c>
      <c r="E42" s="24">
        <v>-144187944.56999999</v>
      </c>
    </row>
    <row r="43" spans="2:5">
      <c r="B43" s="36" t="s">
        <v>213</v>
      </c>
      <c r="C43" s="23">
        <v>-1000000</v>
      </c>
      <c r="D43" s="23">
        <v>-500000</v>
      </c>
      <c r="E43" s="24">
        <v>-400000</v>
      </c>
    </row>
    <row r="44" spans="2:5">
      <c r="B44" s="36" t="s">
        <v>214</v>
      </c>
      <c r="C44" s="23"/>
      <c r="D44" s="23"/>
      <c r="E44" s="24"/>
    </row>
    <row r="45" spans="2:5">
      <c r="B45" s="36" t="s">
        <v>215</v>
      </c>
      <c r="C45" s="23">
        <v>-50000</v>
      </c>
      <c r="D45" s="23">
        <v>-10000</v>
      </c>
      <c r="E45" s="24">
        <v>-15000</v>
      </c>
    </row>
    <row r="46" spans="2:5" ht="16.5">
      <c r="B46" s="56" t="s">
        <v>216</v>
      </c>
      <c r="C46" s="20">
        <f>SUM(C47:C52)</f>
        <v>1100000</v>
      </c>
      <c r="D46" s="20">
        <v>1050000</v>
      </c>
      <c r="E46" s="27">
        <v>1055000</v>
      </c>
    </row>
    <row r="47" spans="2:5">
      <c r="B47" s="36" t="s">
        <v>210</v>
      </c>
      <c r="C47" s="23"/>
      <c r="D47" s="23"/>
      <c r="E47" s="24"/>
    </row>
    <row r="48" spans="2:5">
      <c r="B48" s="36" t="s">
        <v>211</v>
      </c>
      <c r="C48" s="23">
        <v>0</v>
      </c>
      <c r="D48" s="23">
        <v>0</v>
      </c>
      <c r="E48" s="24">
        <v>0</v>
      </c>
    </row>
    <row r="49" spans="2:5">
      <c r="B49" s="36" t="s">
        <v>212</v>
      </c>
      <c r="C49" s="23">
        <v>500000</v>
      </c>
      <c r="D49" s="23">
        <v>450000</v>
      </c>
      <c r="E49" s="24">
        <v>450000</v>
      </c>
    </row>
    <row r="50" spans="2:5">
      <c r="B50" s="36" t="s">
        <v>213</v>
      </c>
      <c r="C50" s="23">
        <v>600000</v>
      </c>
      <c r="D50" s="23">
        <v>600000</v>
      </c>
      <c r="E50" s="24">
        <v>605000</v>
      </c>
    </row>
    <row r="51" spans="2:5">
      <c r="B51" s="36" t="s">
        <v>214</v>
      </c>
      <c r="C51" s="23"/>
      <c r="D51" s="23"/>
      <c r="E51" s="24"/>
    </row>
    <row r="52" spans="2:5">
      <c r="B52" s="36" t="s">
        <v>215</v>
      </c>
      <c r="C52" s="23"/>
      <c r="D52" s="23"/>
      <c r="E52" s="24"/>
    </row>
    <row r="53" spans="2:5" ht="16.5">
      <c r="B53" s="65" t="s">
        <v>217</v>
      </c>
      <c r="C53" s="60">
        <f>C39+C46</f>
        <v>-94915106.739999995</v>
      </c>
      <c r="D53" s="60">
        <f>D39+D46</f>
        <v>-90882864.890000001</v>
      </c>
      <c r="E53" s="61">
        <f>E39+E46</f>
        <v>-144057944.56999999</v>
      </c>
    </row>
    <row r="54" spans="2:5" ht="16.5">
      <c r="B54" s="56"/>
      <c r="C54" s="30"/>
      <c r="D54" s="30"/>
      <c r="E54" s="51"/>
    </row>
    <row r="55" spans="2:5" ht="15.75">
      <c r="B55" s="38" t="s">
        <v>218</v>
      </c>
      <c r="C55" s="30"/>
      <c r="D55" s="30"/>
      <c r="E55" s="51"/>
    </row>
    <row r="56" spans="2:5" ht="16.5">
      <c r="B56" s="56" t="s">
        <v>219</v>
      </c>
      <c r="C56" s="20">
        <f>SUM(C57:C59)</f>
        <v>74388320.599999994</v>
      </c>
      <c r="D56" s="20">
        <v>71888320.599999994</v>
      </c>
      <c r="E56" s="27">
        <v>53888321</v>
      </c>
    </row>
    <row r="57" spans="2:5">
      <c r="B57" s="36" t="s">
        <v>220</v>
      </c>
      <c r="C57" s="23"/>
      <c r="D57" s="23"/>
      <c r="E57" s="24"/>
    </row>
    <row r="58" spans="2:5">
      <c r="B58" s="36" t="s">
        <v>221</v>
      </c>
      <c r="C58" s="23"/>
      <c r="D58" s="23"/>
      <c r="E58" s="24"/>
    </row>
    <row r="59" spans="2:5">
      <c r="B59" s="36" t="s">
        <v>222</v>
      </c>
      <c r="C59" s="23">
        <v>74388320.599999994</v>
      </c>
      <c r="D59" s="23">
        <v>71888320.599999994</v>
      </c>
      <c r="E59" s="24">
        <v>53888321</v>
      </c>
    </row>
    <row r="60" spans="2:5" ht="16.5">
      <c r="B60" s="56" t="s">
        <v>223</v>
      </c>
      <c r="C60" s="20">
        <f>C61+C65</f>
        <v>0</v>
      </c>
      <c r="D60" s="20">
        <v>0</v>
      </c>
      <c r="E60" s="27">
        <v>0</v>
      </c>
    </row>
    <row r="61" spans="2:5">
      <c r="B61" s="36" t="s">
        <v>224</v>
      </c>
      <c r="C61" s="20">
        <f>SUM(C62:C64)</f>
        <v>0</v>
      </c>
      <c r="D61" s="20">
        <v>0</v>
      </c>
      <c r="E61" s="27">
        <v>0</v>
      </c>
    </row>
    <row r="62" spans="2:5">
      <c r="B62" s="36" t="s">
        <v>225</v>
      </c>
      <c r="C62" s="23"/>
      <c r="D62" s="23"/>
      <c r="E62" s="24"/>
    </row>
    <row r="63" spans="2:5">
      <c r="B63" s="36" t="s">
        <v>226</v>
      </c>
      <c r="C63" s="23"/>
      <c r="D63" s="23"/>
      <c r="E63" s="24"/>
    </row>
    <row r="64" spans="2:5">
      <c r="B64" s="36" t="s">
        <v>227</v>
      </c>
      <c r="C64" s="23"/>
      <c r="D64" s="23"/>
      <c r="E64" s="24"/>
    </row>
    <row r="65" spans="2:5">
      <c r="B65" s="36" t="s">
        <v>228</v>
      </c>
      <c r="C65" s="20">
        <f>SUM(C66:C68)</f>
        <v>0</v>
      </c>
      <c r="D65" s="20">
        <v>0</v>
      </c>
      <c r="E65" s="27">
        <v>0</v>
      </c>
    </row>
    <row r="66" spans="2:5">
      <c r="B66" s="36" t="s">
        <v>225</v>
      </c>
      <c r="C66" s="23"/>
      <c r="D66" s="23">
        <v>0</v>
      </c>
      <c r="E66" s="24">
        <v>0</v>
      </c>
    </row>
    <row r="67" spans="2:5">
      <c r="B67" s="36" t="s">
        <v>226</v>
      </c>
      <c r="C67" s="23"/>
      <c r="D67" s="23"/>
      <c r="E67" s="24"/>
    </row>
    <row r="68" spans="2:5">
      <c r="B68" s="36" t="s">
        <v>227</v>
      </c>
      <c r="C68" s="23"/>
      <c r="D68" s="23"/>
      <c r="E68" s="24"/>
    </row>
    <row r="69" spans="2:5" ht="16.5">
      <c r="B69" s="56" t="s">
        <v>229</v>
      </c>
      <c r="C69" s="20">
        <f>SUM(C70:C71)</f>
        <v>0</v>
      </c>
      <c r="D69" s="20">
        <v>0</v>
      </c>
      <c r="E69" s="27">
        <v>0</v>
      </c>
    </row>
    <row r="70" spans="2:5">
      <c r="B70" s="36" t="s">
        <v>230</v>
      </c>
      <c r="C70" s="23"/>
      <c r="D70" s="23"/>
      <c r="E70" s="24"/>
    </row>
    <row r="71" spans="2:5">
      <c r="B71" s="36" t="s">
        <v>231</v>
      </c>
      <c r="C71" s="23"/>
      <c r="D71" s="23"/>
      <c r="E71" s="24"/>
    </row>
    <row r="72" spans="2:5" ht="16.5">
      <c r="B72" s="65" t="s">
        <v>232</v>
      </c>
      <c r="C72" s="60">
        <f>C56+C60+C69</f>
        <v>74388320.599999994</v>
      </c>
      <c r="D72" s="60">
        <f>D56+D60+D69</f>
        <v>71888320.599999994</v>
      </c>
      <c r="E72" s="61">
        <f>E56+E60+E69</f>
        <v>53888321</v>
      </c>
    </row>
    <row r="73" spans="2:5">
      <c r="B73" s="36"/>
      <c r="C73" s="40"/>
      <c r="D73" s="40"/>
      <c r="E73" s="254"/>
    </row>
    <row r="74" spans="2:5" ht="15.75">
      <c r="B74" s="87" t="s">
        <v>233</v>
      </c>
      <c r="C74" s="246"/>
      <c r="D74" s="246"/>
      <c r="E74" s="247"/>
    </row>
    <row r="75" spans="2:5">
      <c r="B75" s="36"/>
      <c r="C75" s="43"/>
      <c r="D75" s="43"/>
      <c r="E75" s="219"/>
    </row>
    <row r="76" spans="2:5" ht="33" customHeight="1">
      <c r="B76" s="90" t="s">
        <v>234</v>
      </c>
      <c r="C76" s="248">
        <f>C36+C53+C72+C74</f>
        <v>54079.54999999702</v>
      </c>
      <c r="D76" s="248">
        <f>D36+D53+D72+D74</f>
        <v>13997076.159999982</v>
      </c>
      <c r="E76" s="249">
        <f>E36+E53+E72+E74</f>
        <v>-92185598.659999996</v>
      </c>
    </row>
    <row r="77" spans="2:5" ht="16.5">
      <c r="B77" s="56" t="s">
        <v>235</v>
      </c>
      <c r="C77" s="245">
        <v>121802734.36</v>
      </c>
      <c r="D77" s="245">
        <v>125625037.67</v>
      </c>
      <c r="E77" s="235">
        <v>139622113.82999998</v>
      </c>
    </row>
    <row r="78" spans="2:5" ht="17.25" thickBot="1">
      <c r="B78" s="91" t="s">
        <v>236</v>
      </c>
      <c r="C78" s="250">
        <v>121856813.90999997</v>
      </c>
      <c r="D78" s="250">
        <v>139622113.82999998</v>
      </c>
      <c r="E78" s="251">
        <v>47436515.170000002</v>
      </c>
    </row>
    <row r="80" spans="2:5">
      <c r="C80" s="155"/>
      <c r="D80" s="155"/>
      <c r="E80" s="155"/>
    </row>
  </sheetData>
  <conditionalFormatting sqref="C31:E31 C40:E45 C58:E58 C66:E68 C70:E71">
    <cfRule type="cellIs" dxfId="37" priority="5" stopIfTrue="1" operator="greaterThan">
      <formula>0</formula>
    </cfRule>
  </conditionalFormatting>
  <conditionalFormatting sqref="C32:E33 C47:E52 C57:E57 C59:E59 C62:E64">
    <cfRule type="cellIs" dxfId="36" priority="10" stopIfTrue="1" operator="lessThan">
      <formula>0</formula>
    </cfRule>
  </conditionalFormatting>
  <conditionalFormatting sqref="C76:E76">
    <cfRule type="cellIs" dxfId="35" priority="44" stopIfTrue="1" operator="notEqual">
      <formula>#REF!-#REF!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9"/>
  <sheetViews>
    <sheetView topLeftCell="A3" workbookViewId="0">
      <selection activeCell="J40" sqref="J40"/>
    </sheetView>
  </sheetViews>
  <sheetFormatPr baseColWidth="10" defaultRowHeight="14.25"/>
  <cols>
    <col min="2" max="2" width="37.125" customWidth="1"/>
    <col min="4" max="4" width="20.375" customWidth="1"/>
    <col min="5" max="5" width="14" customWidth="1"/>
    <col min="7" max="7" width="13.25" customWidth="1"/>
    <col min="8" max="8" width="16.625" customWidth="1"/>
    <col min="10" max="10" width="18" bestFit="1" customWidth="1"/>
    <col min="11" max="11" width="13.375" customWidth="1"/>
    <col min="12" max="12" width="14.125" customWidth="1"/>
    <col min="13" max="13" width="13.125" customWidth="1"/>
    <col min="14" max="14" width="15.875" bestFit="1" customWidth="1"/>
  </cols>
  <sheetData>
    <row r="3" spans="2:15" ht="15" thickBot="1"/>
    <row r="4" spans="2:15" ht="19.5" thickTop="1" thickBot="1">
      <c r="B4" s="92" t="s">
        <v>341</v>
      </c>
      <c r="C4" s="93"/>
      <c r="D4" s="93"/>
      <c r="E4" s="93"/>
      <c r="F4" s="93"/>
      <c r="G4" s="94" t="s">
        <v>237</v>
      </c>
      <c r="H4" s="93"/>
      <c r="I4" s="93"/>
      <c r="J4" s="93"/>
      <c r="K4" s="93"/>
      <c r="L4" s="93"/>
      <c r="M4" s="93"/>
      <c r="N4" s="93"/>
      <c r="O4" s="95" t="s">
        <v>238</v>
      </c>
    </row>
    <row r="5" spans="2:15" ht="16.5" thickTop="1">
      <c r="B5" s="92" t="s">
        <v>342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2:15" ht="15.75">
      <c r="B6" s="92"/>
      <c r="C6" s="92"/>
      <c r="D6" s="92"/>
      <c r="E6" s="92"/>
      <c r="F6" s="92"/>
      <c r="G6" s="92"/>
      <c r="H6" s="92"/>
      <c r="I6" s="93"/>
      <c r="J6" s="93"/>
      <c r="K6" s="93"/>
      <c r="L6" s="93"/>
      <c r="M6" s="93"/>
      <c r="N6" s="93"/>
      <c r="O6" s="93"/>
    </row>
    <row r="7" spans="2:15" ht="15.75">
      <c r="B7" s="92"/>
      <c r="C7" s="92"/>
      <c r="D7" s="92"/>
      <c r="E7" s="92"/>
      <c r="F7" s="92"/>
      <c r="G7" s="92"/>
      <c r="H7" s="92"/>
      <c r="I7" s="93"/>
      <c r="J7" s="93"/>
      <c r="K7" s="93"/>
      <c r="L7" s="93"/>
      <c r="M7" s="92"/>
      <c r="N7" s="93"/>
      <c r="O7" s="93"/>
    </row>
    <row r="8" spans="2:15" ht="15" thickBot="1">
      <c r="B8" s="96"/>
      <c r="C8" s="96"/>
      <c r="D8" s="96"/>
      <c r="E8" s="96"/>
      <c r="F8" s="96"/>
      <c r="G8" s="93"/>
      <c r="H8" s="96"/>
      <c r="I8" s="97"/>
      <c r="J8" s="98"/>
      <c r="K8" s="98"/>
      <c r="L8" s="98"/>
      <c r="M8" s="96"/>
      <c r="N8" s="98"/>
      <c r="O8" s="93"/>
    </row>
    <row r="9" spans="2:15" ht="15.75">
      <c r="B9" s="99" t="s">
        <v>239</v>
      </c>
      <c r="C9" s="100" t="s">
        <v>240</v>
      </c>
      <c r="D9" s="282" t="s">
        <v>241</v>
      </c>
      <c r="E9" s="283"/>
      <c r="F9" s="283"/>
      <c r="G9" s="283"/>
      <c r="H9" s="284"/>
      <c r="I9" s="100" t="s">
        <v>240</v>
      </c>
      <c r="J9" s="282" t="s">
        <v>242</v>
      </c>
      <c r="K9" s="283"/>
      <c r="L9" s="283"/>
      <c r="M9" s="283"/>
      <c r="N9" s="284"/>
      <c r="O9" s="101" t="s">
        <v>243</v>
      </c>
    </row>
    <row r="10" spans="2:15" ht="16.5" thickBot="1">
      <c r="B10" s="102" t="s">
        <v>244</v>
      </c>
      <c r="C10" s="103" t="s">
        <v>245</v>
      </c>
      <c r="D10" s="264" t="s">
        <v>246</v>
      </c>
      <c r="E10" s="104" t="s">
        <v>247</v>
      </c>
      <c r="F10" s="268" t="s">
        <v>248</v>
      </c>
      <c r="G10" s="268" t="s">
        <v>249</v>
      </c>
      <c r="H10" s="105" t="s">
        <v>250</v>
      </c>
      <c r="I10" s="106" t="s">
        <v>251</v>
      </c>
      <c r="J10" s="268" t="s">
        <v>246</v>
      </c>
      <c r="K10" s="268" t="s">
        <v>247</v>
      </c>
      <c r="L10" s="268" t="s">
        <v>248</v>
      </c>
      <c r="M10" s="268" t="s">
        <v>249</v>
      </c>
      <c r="N10" s="105" t="s">
        <v>252</v>
      </c>
      <c r="O10" s="107" t="s">
        <v>253</v>
      </c>
    </row>
    <row r="11" spans="2:15" ht="15" thickTop="1">
      <c r="B11" s="108" t="s">
        <v>254</v>
      </c>
      <c r="C11" s="109">
        <v>2</v>
      </c>
      <c r="D11" s="110">
        <v>196416.24</v>
      </c>
      <c r="E11" s="265">
        <v>0</v>
      </c>
      <c r="F11" s="110">
        <v>0</v>
      </c>
      <c r="G11" s="260">
        <v>31194.959999999999</v>
      </c>
      <c r="H11" s="111">
        <f t="shared" ref="H11:H21" si="0">ROUND(SUM(D11:G11),2)</f>
        <v>227611.2</v>
      </c>
      <c r="I11" s="271">
        <v>2</v>
      </c>
      <c r="J11" s="110">
        <v>196416.26</v>
      </c>
      <c r="K11" s="110">
        <v>0</v>
      </c>
      <c r="L11" s="110">
        <v>0</v>
      </c>
      <c r="M11" s="260">
        <v>30672.240000000002</v>
      </c>
      <c r="N11" s="112">
        <f t="shared" ref="N11:N21" si="1">SUM(J11:M11)</f>
        <v>227088.5</v>
      </c>
      <c r="O11" s="113">
        <f t="shared" ref="O11:O32" si="2">IF(H11=0," ",(H11/N11)-1)</f>
        <v>2.3017457951415299E-3</v>
      </c>
    </row>
    <row r="12" spans="2:15">
      <c r="B12" s="114" t="s">
        <v>255</v>
      </c>
      <c r="C12" s="109">
        <v>6</v>
      </c>
      <c r="D12" s="110">
        <v>528069.17999999993</v>
      </c>
      <c r="E12" s="265">
        <v>36152.54</v>
      </c>
      <c r="F12" s="110">
        <v>0</v>
      </c>
      <c r="G12" s="260">
        <v>109479.96000000002</v>
      </c>
      <c r="H12" s="112">
        <f t="shared" si="0"/>
        <v>673701.68</v>
      </c>
      <c r="I12" s="271">
        <v>6</v>
      </c>
      <c r="J12" s="110">
        <v>527701.37</v>
      </c>
      <c r="K12" s="110">
        <v>27958.81</v>
      </c>
      <c r="L12" s="110">
        <v>0</v>
      </c>
      <c r="M12" s="260">
        <v>91555.08</v>
      </c>
      <c r="N12" s="112">
        <f t="shared" si="1"/>
        <v>647215.26</v>
      </c>
      <c r="O12" s="115">
        <f t="shared" si="2"/>
        <v>4.0923664253528225E-2</v>
      </c>
    </row>
    <row r="13" spans="2:15">
      <c r="B13" s="114" t="s">
        <v>256</v>
      </c>
      <c r="C13" s="109">
        <v>18</v>
      </c>
      <c r="D13" s="110">
        <v>1115620.8199999998</v>
      </c>
      <c r="E13" s="265">
        <v>128683.96</v>
      </c>
      <c r="F13" s="110">
        <v>0</v>
      </c>
      <c r="G13" s="260">
        <v>316781.25999999989</v>
      </c>
      <c r="H13" s="112">
        <f t="shared" si="0"/>
        <v>1561086.04</v>
      </c>
      <c r="I13" s="271">
        <v>20</v>
      </c>
      <c r="J13" s="110">
        <v>1241332.6200000001</v>
      </c>
      <c r="K13" s="110">
        <v>123018.77</v>
      </c>
      <c r="L13" s="110">
        <v>0</v>
      </c>
      <c r="M13" s="260">
        <v>306907</v>
      </c>
      <c r="N13" s="112">
        <f t="shared" si="1"/>
        <v>1671258.3900000001</v>
      </c>
      <c r="O13" s="115">
        <f t="shared" si="2"/>
        <v>-6.5921793218342573E-2</v>
      </c>
    </row>
    <row r="14" spans="2:15">
      <c r="B14" s="114" t="s">
        <v>257</v>
      </c>
      <c r="C14" s="109">
        <v>18</v>
      </c>
      <c r="D14" s="110">
        <v>867341.32</v>
      </c>
      <c r="E14" s="265">
        <v>83562.12</v>
      </c>
      <c r="F14" s="110">
        <v>0</v>
      </c>
      <c r="G14" s="260">
        <v>308922.23999999999</v>
      </c>
      <c r="H14" s="112">
        <f t="shared" si="0"/>
        <v>1259825.68</v>
      </c>
      <c r="I14" s="271">
        <v>15</v>
      </c>
      <c r="J14" s="110">
        <v>611129.36</v>
      </c>
      <c r="K14" s="110">
        <v>75888.2</v>
      </c>
      <c r="L14" s="110">
        <v>0</v>
      </c>
      <c r="M14" s="260">
        <v>185641.16</v>
      </c>
      <c r="N14" s="112">
        <f t="shared" si="1"/>
        <v>872658.72</v>
      </c>
      <c r="O14" s="115">
        <f t="shared" si="2"/>
        <v>0.44366365811367814</v>
      </c>
    </row>
    <row r="15" spans="2:15">
      <c r="B15" s="114" t="s">
        <v>258</v>
      </c>
      <c r="C15" s="109">
        <v>46</v>
      </c>
      <c r="D15" s="110">
        <v>2022527.1199999999</v>
      </c>
      <c r="E15" s="265">
        <v>164482.57999999999</v>
      </c>
      <c r="F15" s="110">
        <v>0</v>
      </c>
      <c r="G15" s="260">
        <v>707900.89</v>
      </c>
      <c r="H15" s="112">
        <f t="shared" si="0"/>
        <v>2894910.59</v>
      </c>
      <c r="I15" s="271">
        <v>44</v>
      </c>
      <c r="J15" s="110">
        <v>2138179.92</v>
      </c>
      <c r="K15" s="110">
        <v>161362.29</v>
      </c>
      <c r="L15" s="110">
        <v>0</v>
      </c>
      <c r="M15" s="260">
        <v>708969.57</v>
      </c>
      <c r="N15" s="112">
        <f t="shared" si="1"/>
        <v>3008511.78</v>
      </c>
      <c r="O15" s="115">
        <f t="shared" si="2"/>
        <v>-3.7759928598318449E-2</v>
      </c>
    </row>
    <row r="16" spans="2:15">
      <c r="B16" s="114" t="s">
        <v>259</v>
      </c>
      <c r="C16" s="109">
        <v>47</v>
      </c>
      <c r="D16" s="110">
        <v>1829341.2999999998</v>
      </c>
      <c r="E16" s="265">
        <v>144466.37</v>
      </c>
      <c r="F16" s="110">
        <v>0</v>
      </c>
      <c r="G16" s="260">
        <v>613425.71</v>
      </c>
      <c r="H16" s="112">
        <f t="shared" si="0"/>
        <v>2587233.38</v>
      </c>
      <c r="I16" s="271">
        <v>44</v>
      </c>
      <c r="J16" s="110">
        <v>1751489.96</v>
      </c>
      <c r="K16" s="110">
        <v>138196.41</v>
      </c>
      <c r="L16" s="110">
        <v>0</v>
      </c>
      <c r="M16" s="260">
        <v>603251.66</v>
      </c>
      <c r="N16" s="112">
        <f t="shared" si="1"/>
        <v>2492938.0299999998</v>
      </c>
      <c r="O16" s="115">
        <f t="shared" si="2"/>
        <v>3.782498757099062E-2</v>
      </c>
    </row>
    <row r="17" spans="2:15">
      <c r="B17" s="114" t="s">
        <v>260</v>
      </c>
      <c r="C17" s="109">
        <v>40</v>
      </c>
      <c r="D17" s="110">
        <v>1373075.1400000001</v>
      </c>
      <c r="E17" s="265">
        <v>242327.76</v>
      </c>
      <c r="F17" s="110">
        <v>0</v>
      </c>
      <c r="G17" s="260">
        <v>546816.54</v>
      </c>
      <c r="H17" s="112">
        <f t="shared" si="0"/>
        <v>2162219.44</v>
      </c>
      <c r="I17" s="271">
        <v>36</v>
      </c>
      <c r="J17" s="110">
        <v>1247032.58</v>
      </c>
      <c r="K17" s="110">
        <v>219676.38</v>
      </c>
      <c r="L17" s="110">
        <v>0</v>
      </c>
      <c r="M17" s="260">
        <v>460381.79</v>
      </c>
      <c r="N17" s="112">
        <f t="shared" si="1"/>
        <v>1927090.75</v>
      </c>
      <c r="O17" s="115">
        <f t="shared" si="2"/>
        <v>0.12201225603931731</v>
      </c>
    </row>
    <row r="18" spans="2:15">
      <c r="B18" s="114" t="s">
        <v>261</v>
      </c>
      <c r="C18" s="109">
        <v>47</v>
      </c>
      <c r="D18" s="110">
        <v>1442020.8399999999</v>
      </c>
      <c r="E18" s="265">
        <v>236191.01000000007</v>
      </c>
      <c r="F18" s="110">
        <v>0</v>
      </c>
      <c r="G18" s="260">
        <v>569741.14</v>
      </c>
      <c r="H18" s="112">
        <f t="shared" si="0"/>
        <v>2247952.9900000002</v>
      </c>
      <c r="I18" s="271">
        <v>51</v>
      </c>
      <c r="J18" s="110">
        <v>1635308.9</v>
      </c>
      <c r="K18" s="110">
        <v>329115.15999999997</v>
      </c>
      <c r="L18" s="110">
        <v>0</v>
      </c>
      <c r="M18" s="260">
        <v>618738.05000000005</v>
      </c>
      <c r="N18" s="112">
        <f t="shared" si="1"/>
        <v>2583162.11</v>
      </c>
      <c r="O18" s="115">
        <f t="shared" si="2"/>
        <v>-0.12976696998702864</v>
      </c>
    </row>
    <row r="19" spans="2:15">
      <c r="B19" s="114" t="s">
        <v>262</v>
      </c>
      <c r="C19" s="109">
        <v>88</v>
      </c>
      <c r="D19" s="110">
        <v>2268924.875</v>
      </c>
      <c r="E19" s="265">
        <v>321787.42</v>
      </c>
      <c r="F19" s="110">
        <v>0</v>
      </c>
      <c r="G19" s="260">
        <v>817287.44000000006</v>
      </c>
      <c r="H19" s="112">
        <f t="shared" si="0"/>
        <v>3407999.74</v>
      </c>
      <c r="I19" s="271">
        <v>73</v>
      </c>
      <c r="J19" s="110">
        <v>1852460.43</v>
      </c>
      <c r="K19" s="110">
        <v>306748.11</v>
      </c>
      <c r="L19" s="110">
        <v>0</v>
      </c>
      <c r="M19" s="260">
        <v>696125.3</v>
      </c>
      <c r="N19" s="112">
        <f t="shared" si="1"/>
        <v>2855333.84</v>
      </c>
      <c r="O19" s="115">
        <f t="shared" si="2"/>
        <v>0.19355561589954062</v>
      </c>
    </row>
    <row r="20" spans="2:15">
      <c r="B20" s="114" t="s">
        <v>263</v>
      </c>
      <c r="C20" s="109">
        <v>0</v>
      </c>
      <c r="D20" s="110" t="s">
        <v>264</v>
      </c>
      <c r="E20" s="265" t="s">
        <v>264</v>
      </c>
      <c r="F20" s="110" t="s">
        <v>264</v>
      </c>
      <c r="G20" s="260" t="s">
        <v>264</v>
      </c>
      <c r="H20" s="112">
        <f t="shared" si="0"/>
        <v>0</v>
      </c>
      <c r="I20" s="271">
        <v>21</v>
      </c>
      <c r="J20" s="110">
        <v>469273.59</v>
      </c>
      <c r="K20" s="110">
        <v>34349.4</v>
      </c>
      <c r="L20" s="110">
        <v>0</v>
      </c>
      <c r="M20" s="260">
        <v>157524.46</v>
      </c>
      <c r="N20" s="112">
        <f t="shared" si="1"/>
        <v>661147.45000000007</v>
      </c>
      <c r="O20" s="115" t="str">
        <f t="shared" si="2"/>
        <v xml:space="preserve"> </v>
      </c>
    </row>
    <row r="21" spans="2:15">
      <c r="B21" s="114" t="s">
        <v>265</v>
      </c>
      <c r="C21" s="109">
        <v>4</v>
      </c>
      <c r="D21" s="110">
        <v>82581.52</v>
      </c>
      <c r="E21" s="265">
        <v>10048.84</v>
      </c>
      <c r="F21" s="110">
        <v>0</v>
      </c>
      <c r="G21" s="260">
        <v>30193.66</v>
      </c>
      <c r="H21" s="112">
        <f t="shared" si="0"/>
        <v>122824.02</v>
      </c>
      <c r="I21" s="271">
        <v>4</v>
      </c>
      <c r="J21" s="110">
        <v>106248.35</v>
      </c>
      <c r="K21" s="110">
        <v>13580</v>
      </c>
      <c r="L21" s="110">
        <v>0</v>
      </c>
      <c r="M21" s="260">
        <v>38394.04</v>
      </c>
      <c r="N21" s="112">
        <f t="shared" si="1"/>
        <v>158222.39000000001</v>
      </c>
      <c r="O21" s="115">
        <f t="shared" si="2"/>
        <v>-0.22372541585296501</v>
      </c>
    </row>
    <row r="22" spans="2:15">
      <c r="B22" s="114" t="s">
        <v>266</v>
      </c>
      <c r="C22" s="109">
        <v>10</v>
      </c>
      <c r="D22" s="110">
        <v>383506.62</v>
      </c>
      <c r="E22" s="265">
        <v>82396.84</v>
      </c>
      <c r="F22" s="110">
        <v>0</v>
      </c>
      <c r="G22" s="260">
        <v>157451.88000000003</v>
      </c>
      <c r="H22" s="112">
        <f t="shared" ref="H22:H31" si="3">SUM(D22:G22)</f>
        <v>623355.34</v>
      </c>
      <c r="I22" s="271"/>
      <c r="J22" s="110"/>
      <c r="K22" s="110"/>
      <c r="L22" s="110"/>
      <c r="M22" s="260"/>
      <c r="N22" s="112">
        <f t="shared" ref="N22:N31" si="4">SUM(J22:M22)</f>
        <v>0</v>
      </c>
      <c r="O22" s="115"/>
    </row>
    <row r="23" spans="2:15">
      <c r="B23" s="116"/>
      <c r="C23" s="117"/>
      <c r="D23" s="118"/>
      <c r="E23" s="266"/>
      <c r="F23" s="118"/>
      <c r="G23" s="261"/>
      <c r="H23" s="112">
        <f t="shared" si="3"/>
        <v>0</v>
      </c>
      <c r="I23" s="261"/>
      <c r="J23" s="118"/>
      <c r="K23" s="118"/>
      <c r="L23" s="118"/>
      <c r="M23" s="261"/>
      <c r="N23" s="112">
        <f t="shared" si="4"/>
        <v>0</v>
      </c>
      <c r="O23" s="115" t="str">
        <f t="shared" si="2"/>
        <v xml:space="preserve"> </v>
      </c>
    </row>
    <row r="24" spans="2:15">
      <c r="B24" s="116"/>
      <c r="C24" s="117"/>
      <c r="D24" s="118"/>
      <c r="E24" s="266"/>
      <c r="F24" s="118"/>
      <c r="G24" s="261"/>
      <c r="H24" s="273">
        <f t="shared" si="3"/>
        <v>0</v>
      </c>
      <c r="I24" s="261"/>
      <c r="J24" s="118"/>
      <c r="K24" s="270"/>
      <c r="L24" s="118"/>
      <c r="M24" s="261"/>
      <c r="N24" s="112">
        <f t="shared" si="4"/>
        <v>0</v>
      </c>
      <c r="O24" s="115" t="str">
        <f t="shared" si="2"/>
        <v xml:space="preserve"> </v>
      </c>
    </row>
    <row r="25" spans="2:15">
      <c r="B25" s="116"/>
      <c r="C25" s="117"/>
      <c r="D25" s="118"/>
      <c r="E25" s="266"/>
      <c r="F25" s="118"/>
      <c r="G25" s="261"/>
      <c r="H25" s="273">
        <f t="shared" si="3"/>
        <v>0</v>
      </c>
      <c r="I25" s="261"/>
      <c r="J25" s="118"/>
      <c r="K25" s="270"/>
      <c r="L25" s="118"/>
      <c r="M25" s="261"/>
      <c r="N25" s="112">
        <f t="shared" si="4"/>
        <v>0</v>
      </c>
      <c r="O25" s="115" t="str">
        <f t="shared" si="2"/>
        <v xml:space="preserve"> </v>
      </c>
    </row>
    <row r="26" spans="2:15">
      <c r="B26" s="116"/>
      <c r="C26" s="117"/>
      <c r="D26" s="118"/>
      <c r="E26" s="266"/>
      <c r="F26" s="118"/>
      <c r="G26" s="261"/>
      <c r="H26" s="273">
        <f t="shared" si="3"/>
        <v>0</v>
      </c>
      <c r="I26" s="261"/>
      <c r="J26" s="118"/>
      <c r="K26" s="270"/>
      <c r="L26" s="118"/>
      <c r="M26" s="261"/>
      <c r="N26" s="112">
        <f t="shared" si="4"/>
        <v>0</v>
      </c>
      <c r="O26" s="115" t="str">
        <f t="shared" si="2"/>
        <v xml:space="preserve"> </v>
      </c>
    </row>
    <row r="27" spans="2:15">
      <c r="B27" s="116"/>
      <c r="C27" s="117"/>
      <c r="D27" s="118"/>
      <c r="E27" s="266"/>
      <c r="F27" s="118"/>
      <c r="G27" s="261"/>
      <c r="H27" s="273">
        <f t="shared" si="3"/>
        <v>0</v>
      </c>
      <c r="I27" s="261"/>
      <c r="J27" s="118"/>
      <c r="K27" s="270"/>
      <c r="L27" s="118"/>
      <c r="M27" s="261"/>
      <c r="N27" s="112">
        <f t="shared" si="4"/>
        <v>0</v>
      </c>
      <c r="O27" s="115" t="str">
        <f t="shared" si="2"/>
        <v xml:space="preserve"> </v>
      </c>
    </row>
    <row r="28" spans="2:15">
      <c r="B28" s="116"/>
      <c r="C28" s="117"/>
      <c r="D28" s="118"/>
      <c r="E28" s="266"/>
      <c r="F28" s="118"/>
      <c r="G28" s="261"/>
      <c r="H28" s="273">
        <f t="shared" si="3"/>
        <v>0</v>
      </c>
      <c r="I28" s="261"/>
      <c r="J28" s="118"/>
      <c r="K28" s="270"/>
      <c r="L28" s="118"/>
      <c r="M28" s="261"/>
      <c r="N28" s="112">
        <f t="shared" si="4"/>
        <v>0</v>
      </c>
      <c r="O28" s="115" t="str">
        <f t="shared" si="2"/>
        <v xml:space="preserve"> </v>
      </c>
    </row>
    <row r="29" spans="2:15">
      <c r="B29" s="116"/>
      <c r="C29" s="117"/>
      <c r="D29" s="118"/>
      <c r="E29" s="266"/>
      <c r="F29" s="118"/>
      <c r="G29" s="261"/>
      <c r="H29" s="112">
        <f t="shared" si="3"/>
        <v>0</v>
      </c>
      <c r="I29" s="261"/>
      <c r="J29" s="118"/>
      <c r="K29" s="118"/>
      <c r="L29" s="118"/>
      <c r="M29" s="261"/>
      <c r="N29" s="112">
        <f t="shared" si="4"/>
        <v>0</v>
      </c>
      <c r="O29" s="115" t="str">
        <f t="shared" si="2"/>
        <v xml:space="preserve"> </v>
      </c>
    </row>
    <row r="30" spans="2:15">
      <c r="B30" s="116"/>
      <c r="C30" s="117"/>
      <c r="D30" s="118"/>
      <c r="E30" s="266"/>
      <c r="F30" s="118"/>
      <c r="G30" s="261"/>
      <c r="H30" s="112">
        <f t="shared" si="3"/>
        <v>0</v>
      </c>
      <c r="I30" s="261"/>
      <c r="J30" s="118"/>
      <c r="K30" s="118"/>
      <c r="L30" s="118"/>
      <c r="M30" s="261"/>
      <c r="N30" s="112">
        <f t="shared" si="4"/>
        <v>0</v>
      </c>
      <c r="O30" s="115" t="str">
        <f t="shared" si="2"/>
        <v xml:space="preserve"> </v>
      </c>
    </row>
    <row r="31" spans="2:15">
      <c r="B31" s="116"/>
      <c r="C31" s="123"/>
      <c r="D31" s="119"/>
      <c r="E31" s="267"/>
      <c r="F31" s="119"/>
      <c r="G31" s="262"/>
      <c r="H31" s="120">
        <f t="shared" si="3"/>
        <v>0</v>
      </c>
      <c r="I31" s="262"/>
      <c r="J31" s="119"/>
      <c r="K31" s="119"/>
      <c r="L31" s="119"/>
      <c r="M31" s="262"/>
      <c r="N31" s="120">
        <f t="shared" si="4"/>
        <v>0</v>
      </c>
      <c r="O31" s="124" t="str">
        <f t="shared" si="2"/>
        <v xml:space="preserve"> </v>
      </c>
    </row>
    <row r="32" spans="2:15" ht="15">
      <c r="B32" s="125" t="s">
        <v>267</v>
      </c>
      <c r="C32" s="126">
        <f t="shared" ref="C32:N32" si="5">SUM(C11:C31)</f>
        <v>326</v>
      </c>
      <c r="D32" s="127">
        <f>ROUND(SUM(D11:D31),2)</f>
        <v>12109424.98</v>
      </c>
      <c r="E32" s="263">
        <f>ROUND(SUM(E11:E31),2)</f>
        <v>1450099.44</v>
      </c>
      <c r="F32" s="127">
        <f t="shared" si="5"/>
        <v>0</v>
      </c>
      <c r="G32" s="263">
        <f>ROUND(SUM(G11:G31),2)</f>
        <v>4209195.68</v>
      </c>
      <c r="H32" s="121">
        <f>ROUND(SUM(H11:H31),2)</f>
        <v>17768720.100000001</v>
      </c>
      <c r="I32" s="122">
        <f t="shared" si="5"/>
        <v>316</v>
      </c>
      <c r="J32" s="127">
        <f t="shared" si="5"/>
        <v>11776573.339999998</v>
      </c>
      <c r="K32" s="127">
        <f t="shared" si="5"/>
        <v>1429893.5299999998</v>
      </c>
      <c r="L32" s="127">
        <f t="shared" si="5"/>
        <v>0</v>
      </c>
      <c r="M32" s="269">
        <f t="shared" si="5"/>
        <v>3898160.3499999996</v>
      </c>
      <c r="N32" s="121">
        <f t="shared" si="5"/>
        <v>17104627.219999999</v>
      </c>
      <c r="O32" s="128">
        <f t="shared" si="2"/>
        <v>3.88253348908707E-2</v>
      </c>
    </row>
    <row r="33" spans="2:15" ht="15.75">
      <c r="B33" s="129"/>
      <c r="C33" s="130" t="s">
        <v>268</v>
      </c>
      <c r="D33" s="131"/>
      <c r="E33" s="131"/>
      <c r="F33" s="131"/>
      <c r="G33" s="131"/>
      <c r="H33" s="132">
        <v>571800</v>
      </c>
      <c r="I33" s="130" t="s">
        <v>268</v>
      </c>
      <c r="J33" s="131"/>
      <c r="K33" s="133"/>
      <c r="L33" s="134"/>
      <c r="M33" s="134"/>
      <c r="N33" s="132">
        <v>450000</v>
      </c>
      <c r="O33" s="135">
        <f>IF(H33=0," ",(H33/N33)-1)</f>
        <v>0.27066666666666661</v>
      </c>
    </row>
    <row r="34" spans="2:15" ht="15.75">
      <c r="B34" s="136"/>
      <c r="C34" s="137"/>
      <c r="D34" s="137"/>
      <c r="E34" s="137"/>
      <c r="F34" s="137"/>
      <c r="G34" s="137"/>
      <c r="H34" s="138"/>
      <c r="I34" s="139"/>
      <c r="J34" s="140"/>
      <c r="K34" s="137"/>
      <c r="L34" s="139"/>
      <c r="M34" s="141"/>
      <c r="N34" s="142"/>
      <c r="O34" s="143"/>
    </row>
    <row r="35" spans="2:15" ht="18.75" thickBot="1">
      <c r="B35" s="144" t="s">
        <v>267</v>
      </c>
      <c r="C35" s="145"/>
      <c r="D35" s="146"/>
      <c r="E35" s="146"/>
      <c r="F35" s="146"/>
      <c r="G35" s="147"/>
      <c r="H35" s="148">
        <f>H32+H33</f>
        <v>18340520.100000001</v>
      </c>
      <c r="I35" s="272"/>
      <c r="J35" s="149"/>
      <c r="K35" s="149"/>
      <c r="L35" s="149"/>
      <c r="M35" s="150"/>
      <c r="N35" s="148">
        <f>N32+N33</f>
        <v>17554627.219999999</v>
      </c>
      <c r="O35" s="151">
        <f>IF(H35=0," ",(H35/N35)-1)</f>
        <v>4.4768417474831512E-2</v>
      </c>
    </row>
    <row r="36" spans="2:15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2:15">
      <c r="B37" s="152" t="s">
        <v>269</v>
      </c>
      <c r="C37" s="152"/>
      <c r="D37" s="152"/>
      <c r="E37" s="152"/>
      <c r="F37" s="152"/>
      <c r="G37" s="152"/>
      <c r="H37" s="152"/>
      <c r="I37" s="152"/>
      <c r="J37" s="152"/>
      <c r="K37" s="93"/>
      <c r="L37" s="93"/>
      <c r="M37" s="93"/>
      <c r="N37" s="93"/>
      <c r="O37" s="93"/>
    </row>
    <row r="38" spans="2:15">
      <c r="B38" s="93" t="s">
        <v>270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2:15">
      <c r="B39" s="93" t="s">
        <v>271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</sheetData>
  <mergeCells count="2">
    <mergeCell ref="D9:H9"/>
    <mergeCell ref="J9:N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1"/>
  <sheetViews>
    <sheetView topLeftCell="A3" workbookViewId="0">
      <selection activeCell="I57" sqref="I57"/>
    </sheetView>
  </sheetViews>
  <sheetFormatPr baseColWidth="10" defaultRowHeight="14.25"/>
  <cols>
    <col min="2" max="2" width="50.125" customWidth="1"/>
    <col min="3" max="3" width="17.25" bestFit="1" customWidth="1"/>
    <col min="4" max="4" width="20.875" customWidth="1"/>
    <col min="5" max="5" width="20.625" customWidth="1"/>
    <col min="6" max="6" width="40.875" customWidth="1"/>
    <col min="7" max="7" width="22.375" customWidth="1"/>
    <col min="8" max="8" width="22.125" customWidth="1"/>
    <col min="9" max="9" width="19.125" customWidth="1"/>
  </cols>
  <sheetData>
    <row r="3" spans="2:9" ht="18">
      <c r="C3" s="154" t="s">
        <v>272</v>
      </c>
    </row>
    <row r="4" spans="2:9" ht="15.75">
      <c r="B4" s="153"/>
    </row>
    <row r="5" spans="2:9" ht="15.75">
      <c r="B5" s="153"/>
      <c r="C5" s="153"/>
    </row>
    <row r="6" spans="2:9" ht="15.75">
      <c r="B6" s="153" t="s">
        <v>1</v>
      </c>
      <c r="C6" s="155"/>
      <c r="G6" s="155"/>
    </row>
    <row r="7" spans="2:9" ht="15.75">
      <c r="B7" s="153"/>
      <c r="C7" s="153"/>
    </row>
    <row r="8" spans="2:9" ht="16.5" thickBot="1">
      <c r="B8" s="153"/>
      <c r="D8" s="153"/>
      <c r="E8" s="153"/>
    </row>
    <row r="9" spans="2:9" ht="15">
      <c r="B9" s="274" t="s">
        <v>273</v>
      </c>
      <c r="C9" s="255" t="s">
        <v>4</v>
      </c>
      <c r="D9" s="210" t="s">
        <v>5</v>
      </c>
      <c r="E9" s="210" t="s">
        <v>4</v>
      </c>
      <c r="F9" s="285" t="s">
        <v>274</v>
      </c>
      <c r="G9" s="255" t="s">
        <v>4</v>
      </c>
      <c r="H9" s="210" t="s">
        <v>5</v>
      </c>
      <c r="I9" s="210" t="s">
        <v>4</v>
      </c>
    </row>
    <row r="10" spans="2:9" ht="15.75" thickBot="1">
      <c r="B10" s="275"/>
      <c r="C10" s="211">
        <v>44926</v>
      </c>
      <c r="D10" s="212">
        <v>44926</v>
      </c>
      <c r="E10" s="216">
        <v>45291</v>
      </c>
      <c r="F10" s="286"/>
      <c r="G10" s="211">
        <v>44926</v>
      </c>
      <c r="H10" s="212">
        <v>44926</v>
      </c>
      <c r="I10" s="212">
        <v>45291</v>
      </c>
    </row>
    <row r="11" spans="2:9" ht="17.25" thickTop="1">
      <c r="B11" s="156"/>
      <c r="C11" s="157"/>
      <c r="D11" s="157"/>
      <c r="E11" s="256"/>
      <c r="F11" s="158"/>
      <c r="G11" s="159"/>
      <c r="H11" s="160"/>
      <c r="I11" s="160"/>
    </row>
    <row r="12" spans="2:9" ht="15.75">
      <c r="B12" s="161" t="s">
        <v>275</v>
      </c>
      <c r="C12" s="162">
        <f>C13+C18+C24+C27</f>
        <v>101015106.73999999</v>
      </c>
      <c r="D12" s="162">
        <f>D13+D18+D24+D27</f>
        <v>96932864.890000001</v>
      </c>
      <c r="E12" s="164">
        <f>E13+E18+E24+E27</f>
        <v>150112944.56999999</v>
      </c>
      <c r="F12" s="163" t="s">
        <v>276</v>
      </c>
      <c r="G12" s="162">
        <f>SUM(G13:G24)</f>
        <v>15676119.419999994</v>
      </c>
      <c r="H12" s="162">
        <f>SUM(H13:H24)</f>
        <v>15259590.230000006</v>
      </c>
      <c r="I12" s="162">
        <f>SUM(I13:I24)</f>
        <v>14472579.949999981</v>
      </c>
    </row>
    <row r="13" spans="2:9">
      <c r="B13" s="165" t="s">
        <v>277</v>
      </c>
      <c r="C13" s="166">
        <f>SUM(C14:C17)</f>
        <v>210000</v>
      </c>
      <c r="D13" s="166">
        <f>SUM(D14:D17)</f>
        <v>210000</v>
      </c>
      <c r="E13" s="169">
        <f>SUM(E14:E17)</f>
        <v>120000</v>
      </c>
      <c r="F13" s="167" t="s">
        <v>278</v>
      </c>
      <c r="G13" s="166">
        <v>4091587.3599999947</v>
      </c>
      <c r="H13" s="166">
        <v>3770398.1800000025</v>
      </c>
      <c r="I13" s="166">
        <v>6734079.9499999806</v>
      </c>
    </row>
    <row r="14" spans="2:9">
      <c r="B14" s="165" t="s">
        <v>279</v>
      </c>
      <c r="C14" s="168"/>
      <c r="D14" s="168"/>
      <c r="E14" s="171"/>
      <c r="F14" s="167" t="s">
        <v>280</v>
      </c>
      <c r="G14" s="166">
        <v>16002411.540000001</v>
      </c>
      <c r="H14" s="166">
        <v>16042892.58</v>
      </c>
      <c r="I14" s="166">
        <v>16850000</v>
      </c>
    </row>
    <row r="15" spans="2:9">
      <c r="B15" s="165" t="s">
        <v>281</v>
      </c>
      <c r="C15" s="168"/>
      <c r="D15" s="168"/>
      <c r="E15" s="171"/>
      <c r="F15" s="167" t="s">
        <v>282</v>
      </c>
      <c r="G15" s="166">
        <v>1615000</v>
      </c>
      <c r="H15" s="166">
        <v>1615000</v>
      </c>
      <c r="I15" s="166">
        <v>600000</v>
      </c>
    </row>
    <row r="16" spans="2:9">
      <c r="B16" s="165" t="s">
        <v>283</v>
      </c>
      <c r="C16" s="168">
        <v>210000</v>
      </c>
      <c r="D16" s="168">
        <v>210000</v>
      </c>
      <c r="E16" s="171">
        <v>120000</v>
      </c>
      <c r="F16" s="167" t="s">
        <v>284</v>
      </c>
      <c r="G16" s="166">
        <v>1755399.7200000002</v>
      </c>
      <c r="H16" s="166">
        <v>1686969.6600000001</v>
      </c>
      <c r="I16" s="166">
        <v>1056500</v>
      </c>
    </row>
    <row r="17" spans="2:9">
      <c r="B17" s="165" t="s">
        <v>285</v>
      </c>
      <c r="C17" s="168"/>
      <c r="D17" s="168"/>
      <c r="E17" s="171"/>
      <c r="F17" s="167" t="s">
        <v>286</v>
      </c>
      <c r="G17" s="166">
        <v>-10000000</v>
      </c>
      <c r="H17" s="166">
        <v>-10000000</v>
      </c>
      <c r="I17" s="166">
        <v>-12000000</v>
      </c>
    </row>
    <row r="18" spans="2:9">
      <c r="B18" s="165" t="s">
        <v>287</v>
      </c>
      <c r="C18" s="166">
        <f>SUM(C19:C23)</f>
        <v>370000</v>
      </c>
      <c r="D18" s="166">
        <f>SUM(D19:D23)</f>
        <v>620000</v>
      </c>
      <c r="E18" s="169">
        <f>SUM(E19:E23)</f>
        <v>390000</v>
      </c>
      <c r="F18" s="167" t="s">
        <v>288</v>
      </c>
      <c r="G18" s="166">
        <v>100000</v>
      </c>
      <c r="H18" s="166">
        <v>50000</v>
      </c>
      <c r="I18" s="166">
        <v>50000</v>
      </c>
    </row>
    <row r="19" spans="2:9">
      <c r="B19" s="165" t="s">
        <v>289</v>
      </c>
      <c r="C19" s="168"/>
      <c r="D19" s="168"/>
      <c r="E19" s="171"/>
      <c r="F19" s="167" t="s">
        <v>290</v>
      </c>
      <c r="G19" s="166">
        <v>0</v>
      </c>
      <c r="H19" s="166">
        <v>0</v>
      </c>
      <c r="I19" s="166">
        <v>0</v>
      </c>
    </row>
    <row r="20" spans="2:9">
      <c r="B20" s="165" t="s">
        <v>291</v>
      </c>
      <c r="C20" s="168"/>
      <c r="D20" s="168"/>
      <c r="E20" s="171"/>
      <c r="F20" s="167" t="s">
        <v>292</v>
      </c>
      <c r="G20" s="166">
        <v>0</v>
      </c>
      <c r="H20" s="166">
        <v>0</v>
      </c>
      <c r="I20" s="166">
        <v>0</v>
      </c>
    </row>
    <row r="21" spans="2:9">
      <c r="B21" s="165" t="s">
        <v>293</v>
      </c>
      <c r="C21" s="168">
        <v>370000</v>
      </c>
      <c r="D21" s="168">
        <v>370000</v>
      </c>
      <c r="E21" s="171">
        <v>390000</v>
      </c>
      <c r="F21" s="167" t="s">
        <v>294</v>
      </c>
      <c r="G21" s="166">
        <v>0</v>
      </c>
      <c r="H21" s="166">
        <v>0</v>
      </c>
      <c r="I21" s="166">
        <v>0</v>
      </c>
    </row>
    <row r="22" spans="2:9">
      <c r="B22" s="165" t="s">
        <v>295</v>
      </c>
      <c r="C22" s="168"/>
      <c r="D22" s="168">
        <v>250000</v>
      </c>
      <c r="E22" s="171"/>
      <c r="F22" s="167" t="s">
        <v>296</v>
      </c>
      <c r="G22" s="166">
        <v>1960000</v>
      </c>
      <c r="H22" s="166">
        <v>1950087.2500000037</v>
      </c>
      <c r="I22" s="166">
        <v>1000000</v>
      </c>
    </row>
    <row r="23" spans="2:9">
      <c r="B23" s="165" t="s">
        <v>297</v>
      </c>
      <c r="C23" s="168"/>
      <c r="D23" s="168"/>
      <c r="E23" s="171"/>
      <c r="F23" s="167" t="s">
        <v>298</v>
      </c>
      <c r="G23" s="166">
        <v>151720.79999999999</v>
      </c>
      <c r="H23" s="166">
        <v>144242.56</v>
      </c>
      <c r="I23" s="166">
        <v>182000</v>
      </c>
    </row>
    <row r="24" spans="2:9">
      <c r="B24" s="165" t="s">
        <v>299</v>
      </c>
      <c r="C24" s="166">
        <f>SUM(C25:C26)</f>
        <v>99385106.739999995</v>
      </c>
      <c r="D24" s="166">
        <f>SUM(D25:D26)</f>
        <v>95592864.890000001</v>
      </c>
      <c r="E24" s="169">
        <f>SUM(E25:E26)</f>
        <v>149187944.56999999</v>
      </c>
      <c r="F24" s="167" t="s">
        <v>300</v>
      </c>
      <c r="G24" s="166">
        <v>0</v>
      </c>
      <c r="H24" s="166">
        <v>0</v>
      </c>
      <c r="I24" s="166">
        <v>0</v>
      </c>
    </row>
    <row r="25" spans="2:9">
      <c r="B25" s="165" t="s">
        <v>301</v>
      </c>
      <c r="C25" s="168">
        <v>7000000</v>
      </c>
      <c r="D25" s="168">
        <v>7000000</v>
      </c>
      <c r="E25" s="171">
        <v>12500000</v>
      </c>
      <c r="F25" s="155"/>
      <c r="G25" s="170"/>
      <c r="H25" s="170"/>
      <c r="I25" s="170"/>
    </row>
    <row r="26" spans="2:9" ht="15.75">
      <c r="B26" s="165" t="s">
        <v>302</v>
      </c>
      <c r="C26" s="168">
        <v>92385106.739999995</v>
      </c>
      <c r="D26" s="168">
        <v>88592864.890000001</v>
      </c>
      <c r="E26" s="171">
        <v>136687944.56999999</v>
      </c>
      <c r="F26" s="163" t="s">
        <v>303</v>
      </c>
      <c r="G26" s="162">
        <f>SUM(G27:G28)</f>
        <v>0</v>
      </c>
      <c r="H26" s="162">
        <f>SUM(H27:H28)</f>
        <v>0</v>
      </c>
      <c r="I26" s="162">
        <f>SUM(I27:I28)</f>
        <v>0</v>
      </c>
    </row>
    <row r="27" spans="2:9">
      <c r="B27" s="165" t="s">
        <v>304</v>
      </c>
      <c r="C27" s="166">
        <f>SUM(C28:C33)</f>
        <v>1050000</v>
      </c>
      <c r="D27" s="166">
        <f>SUM(D28:D33)</f>
        <v>510000</v>
      </c>
      <c r="E27" s="169">
        <f>SUM(E28:E33)</f>
        <v>415000</v>
      </c>
      <c r="F27" s="167" t="s">
        <v>305</v>
      </c>
      <c r="G27" s="168"/>
      <c r="H27" s="168"/>
      <c r="I27" s="168"/>
    </row>
    <row r="28" spans="2:9">
      <c r="B28" s="22" t="s">
        <v>306</v>
      </c>
      <c r="C28" s="168"/>
      <c r="D28" s="168"/>
      <c r="E28" s="171"/>
      <c r="F28" s="167" t="s">
        <v>307</v>
      </c>
      <c r="G28" s="168"/>
      <c r="H28" s="168"/>
      <c r="I28" s="168"/>
    </row>
    <row r="29" spans="2:9">
      <c r="B29" s="22" t="s">
        <v>308</v>
      </c>
      <c r="C29" s="168">
        <v>50000</v>
      </c>
      <c r="D29" s="168">
        <v>10000</v>
      </c>
      <c r="E29" s="171">
        <v>15000</v>
      </c>
      <c r="F29" s="167"/>
      <c r="G29" s="166"/>
      <c r="H29" s="166"/>
      <c r="I29" s="166"/>
    </row>
    <row r="30" spans="2:9" ht="15.75">
      <c r="B30" s="22" t="s">
        <v>309</v>
      </c>
      <c r="C30" s="168"/>
      <c r="D30" s="168"/>
      <c r="E30" s="171"/>
      <c r="F30" s="163" t="s">
        <v>310</v>
      </c>
      <c r="G30" s="162">
        <f>SUM(G31:G33)</f>
        <v>59888321</v>
      </c>
      <c r="H30" s="162">
        <f>SUM(H31:H33)</f>
        <v>62888321</v>
      </c>
      <c r="I30" s="162">
        <f>SUM(I31:I33)</f>
        <v>78000000</v>
      </c>
    </row>
    <row r="31" spans="2:9">
      <c r="B31" s="22" t="s">
        <v>311</v>
      </c>
      <c r="C31" s="168"/>
      <c r="D31" s="168"/>
      <c r="E31" s="171"/>
      <c r="F31" s="167" t="s">
        <v>312</v>
      </c>
      <c r="G31" s="171">
        <f>47888321+7000000</f>
        <v>54888321</v>
      </c>
      <c r="H31" s="171">
        <f>47888321+7000000+3000000</f>
        <v>57888321</v>
      </c>
      <c r="I31" s="171">
        <f>67000000+6000000</f>
        <v>73000000</v>
      </c>
    </row>
    <row r="32" spans="2:9">
      <c r="B32" s="22" t="s">
        <v>313</v>
      </c>
      <c r="C32" s="168"/>
      <c r="D32" s="168"/>
      <c r="E32" s="171"/>
      <c r="F32" s="167" t="s">
        <v>314</v>
      </c>
      <c r="G32" s="168"/>
      <c r="H32" s="168"/>
      <c r="I32" s="168"/>
    </row>
    <row r="33" spans="2:9">
      <c r="B33" s="22" t="s">
        <v>315</v>
      </c>
      <c r="C33" s="168">
        <v>1000000</v>
      </c>
      <c r="D33" s="168">
        <v>500000</v>
      </c>
      <c r="E33" s="171">
        <v>400000</v>
      </c>
      <c r="F33" s="167" t="s">
        <v>316</v>
      </c>
      <c r="G33" s="171">
        <v>5000000</v>
      </c>
      <c r="H33" s="171">
        <v>5000000</v>
      </c>
      <c r="I33" s="171">
        <v>5000000</v>
      </c>
    </row>
    <row r="34" spans="2:9" ht="15.75">
      <c r="B34" s="36"/>
      <c r="C34" s="166"/>
      <c r="D34" s="166"/>
      <c r="E34" s="169"/>
      <c r="F34" s="172"/>
      <c r="G34" s="173"/>
      <c r="H34" s="173"/>
      <c r="I34" s="173"/>
    </row>
    <row r="35" spans="2:9" ht="15.75">
      <c r="B35" s="174"/>
      <c r="C35" s="166"/>
      <c r="D35" s="166"/>
      <c r="E35" s="169"/>
      <c r="F35" s="163" t="s">
        <v>317</v>
      </c>
      <c r="G35" s="162">
        <f>SUM(G36:G38)</f>
        <v>0</v>
      </c>
      <c r="H35" s="162">
        <f>SUM(H36:H38)</f>
        <v>0</v>
      </c>
      <c r="I35" s="162">
        <f>SUM(I36:I38)</f>
        <v>0</v>
      </c>
    </row>
    <row r="36" spans="2:9" ht="15.75">
      <c r="B36" s="175" t="s">
        <v>318</v>
      </c>
      <c r="C36" s="176"/>
      <c r="D36" s="176"/>
      <c r="E36" s="257"/>
      <c r="F36" s="167" t="s">
        <v>319</v>
      </c>
      <c r="G36" s="168"/>
      <c r="H36" s="168"/>
      <c r="I36" s="168"/>
    </row>
    <row r="37" spans="2:9" ht="15.75">
      <c r="B37" s="175"/>
      <c r="C37" s="166"/>
      <c r="D37" s="166"/>
      <c r="E37" s="169"/>
      <c r="F37" s="167" t="s">
        <v>320</v>
      </c>
      <c r="G37" s="168"/>
      <c r="H37" s="168"/>
      <c r="I37" s="168"/>
    </row>
    <row r="38" spans="2:9" ht="15.75">
      <c r="B38" s="161" t="s">
        <v>321</v>
      </c>
      <c r="C38" s="176"/>
      <c r="D38" s="176"/>
      <c r="E38" s="257"/>
      <c r="F38" s="167" t="s">
        <v>322</v>
      </c>
      <c r="G38" s="168"/>
      <c r="H38" s="168"/>
      <c r="I38" s="168"/>
    </row>
    <row r="39" spans="2:9" ht="15.75">
      <c r="B39" s="161"/>
      <c r="C39" s="166"/>
      <c r="D39" s="166"/>
      <c r="E39" s="169"/>
      <c r="F39" s="163"/>
      <c r="G39" s="173"/>
      <c r="H39" s="173"/>
      <c r="I39" s="173"/>
    </row>
    <row r="40" spans="2:9" ht="15.75">
      <c r="B40" s="161" t="s">
        <v>323</v>
      </c>
      <c r="C40" s="162">
        <f>SUM(C41:C43)</f>
        <v>0</v>
      </c>
      <c r="D40" s="162">
        <f>SUM(D41:D43)</f>
        <v>0</v>
      </c>
      <c r="E40" s="164">
        <f>SUM(E41:E43)</f>
        <v>0</v>
      </c>
      <c r="F40" s="163" t="s">
        <v>324</v>
      </c>
      <c r="G40" s="162">
        <f>SUM(G41:G46)</f>
        <v>1100000</v>
      </c>
      <c r="H40" s="162">
        <f>SUM(H41:H46)</f>
        <v>1050000</v>
      </c>
      <c r="I40" s="162">
        <f>SUM(I41:I46)</f>
        <v>1055000</v>
      </c>
    </row>
    <row r="41" spans="2:9">
      <c r="B41" s="174" t="s">
        <v>319</v>
      </c>
      <c r="C41" s="168"/>
      <c r="D41" s="168"/>
      <c r="E41" s="171"/>
      <c r="F41" s="167" t="s">
        <v>325</v>
      </c>
      <c r="G41" s="168"/>
      <c r="H41" s="168"/>
      <c r="I41" s="168"/>
    </row>
    <row r="42" spans="2:9">
      <c r="B42" s="174" t="s">
        <v>326</v>
      </c>
      <c r="C42" s="168"/>
      <c r="D42" s="168"/>
      <c r="E42" s="171"/>
      <c r="F42" s="167" t="s">
        <v>327</v>
      </c>
      <c r="G42" s="168"/>
      <c r="H42" s="168"/>
      <c r="I42" s="168"/>
    </row>
    <row r="43" spans="2:9">
      <c r="B43" s="174" t="s">
        <v>328</v>
      </c>
      <c r="C43" s="168"/>
      <c r="D43" s="168"/>
      <c r="E43" s="171"/>
      <c r="F43" s="167" t="s">
        <v>329</v>
      </c>
      <c r="G43" s="168">
        <v>500000</v>
      </c>
      <c r="H43" s="168">
        <v>450000</v>
      </c>
      <c r="I43" s="168">
        <v>450000</v>
      </c>
    </row>
    <row r="44" spans="2:9">
      <c r="B44" s="174"/>
      <c r="C44" s="166"/>
      <c r="D44" s="166"/>
      <c r="E44" s="169"/>
      <c r="F44" s="167" t="s">
        <v>330</v>
      </c>
      <c r="G44" s="168">
        <v>600000</v>
      </c>
      <c r="H44" s="168">
        <v>600000</v>
      </c>
      <c r="I44" s="168">
        <v>605000</v>
      </c>
    </row>
    <row r="45" spans="2:9" ht="15.75">
      <c r="B45" s="161" t="s">
        <v>331</v>
      </c>
      <c r="C45" s="162">
        <f>SUM(C46:C47)</f>
        <v>1000000</v>
      </c>
      <c r="D45" s="162">
        <f>SUM(D46:D47)</f>
        <v>1000000</v>
      </c>
      <c r="E45" s="164">
        <f>SUM(E46:E47)</f>
        <v>1000000</v>
      </c>
      <c r="F45" s="167" t="s">
        <v>332</v>
      </c>
      <c r="G45" s="168"/>
      <c r="H45" s="168"/>
      <c r="I45" s="168"/>
    </row>
    <row r="46" spans="2:9" ht="15">
      <c r="B46" s="174" t="s">
        <v>333</v>
      </c>
      <c r="C46" s="177"/>
      <c r="D46" s="177"/>
      <c r="E46" s="258"/>
      <c r="F46" s="167" t="s">
        <v>334</v>
      </c>
      <c r="G46" s="168"/>
      <c r="H46" s="168"/>
      <c r="I46" s="168"/>
    </row>
    <row r="47" spans="2:9">
      <c r="B47" s="174" t="s">
        <v>335</v>
      </c>
      <c r="C47" s="168">
        <v>1000000</v>
      </c>
      <c r="D47" s="168">
        <v>1000000</v>
      </c>
      <c r="E47" s="171">
        <v>1000000</v>
      </c>
      <c r="F47" s="167"/>
      <c r="G47" s="166"/>
      <c r="H47" s="166"/>
      <c r="I47" s="166"/>
    </row>
    <row r="48" spans="2:9" ht="16.5" thickBot="1">
      <c r="B48" s="175"/>
      <c r="C48" s="178"/>
      <c r="D48" s="179"/>
      <c r="E48" s="259"/>
      <c r="F48" s="180"/>
      <c r="G48" s="181"/>
      <c r="H48" s="181"/>
      <c r="I48" s="181"/>
    </row>
    <row r="49" spans="2:9" ht="19.5" thickTop="1" thickBot="1">
      <c r="B49" s="182" t="s">
        <v>336</v>
      </c>
      <c r="C49" s="183">
        <f>C12+C36+C38+C40+C45</f>
        <v>102015106.73999999</v>
      </c>
      <c r="D49" s="183">
        <f>D12+D36+D38+D40+D45</f>
        <v>97932864.890000001</v>
      </c>
      <c r="E49" s="185">
        <f>E12+E36+E38+E40+E45</f>
        <v>151112944.56999999</v>
      </c>
      <c r="F49" s="184" t="s">
        <v>337</v>
      </c>
      <c r="G49" s="183">
        <f>G12+G26+G30+G35+G40</f>
        <v>76664440.419999987</v>
      </c>
      <c r="H49" s="183">
        <f>H12+H26+H30+H35+H40</f>
        <v>79197911.230000004</v>
      </c>
      <c r="I49" s="183">
        <f>I12+I26+I30+I35+I40</f>
        <v>93527579.949999988</v>
      </c>
    </row>
    <row r="50" spans="2:9" ht="15" thickTop="1">
      <c r="B50" s="186"/>
      <c r="C50" s="187"/>
      <c r="D50" s="187"/>
      <c r="E50" s="189"/>
      <c r="F50" s="188"/>
      <c r="G50" s="187"/>
      <c r="H50" s="187"/>
      <c r="I50" s="187"/>
    </row>
    <row r="51" spans="2:9" ht="17.25" thickBot="1">
      <c r="B51" s="190" t="s">
        <v>338</v>
      </c>
      <c r="C51" s="191">
        <f>IF(G49-C49&gt;0,G49-C49,0)</f>
        <v>0</v>
      </c>
      <c r="D51" s="191">
        <f>IF(H49-D49&gt;0,H49-D49,0)</f>
        <v>0</v>
      </c>
      <c r="E51" s="193">
        <f>IF(I49-E49&gt;0,I49-E49,0)</f>
        <v>0</v>
      </c>
      <c r="F51" s="192" t="s">
        <v>339</v>
      </c>
      <c r="G51" s="193">
        <f>IF(C49-G49&gt;0,C49-G49,0)</f>
        <v>25350666.320000008</v>
      </c>
      <c r="H51" s="193">
        <f>IF(D49-H49&gt;0,D49-H49,0)</f>
        <v>18734953.659999996</v>
      </c>
      <c r="I51" s="193">
        <f>IF(E49-I49&gt;0,E49-I49,0)</f>
        <v>57585364.620000005</v>
      </c>
    </row>
  </sheetData>
  <mergeCells count="2">
    <mergeCell ref="B9:B10"/>
    <mergeCell ref="F9:F10"/>
  </mergeCells>
  <conditionalFormatting sqref="C19:C23">
    <cfRule type="cellIs" dxfId="34" priority="60" stopIfTrue="1" operator="lessThan">
      <formula>0</formula>
    </cfRule>
  </conditionalFormatting>
  <conditionalFormatting sqref="C25:C26">
    <cfRule type="cellIs" dxfId="33" priority="59" stopIfTrue="1" operator="lessThan">
      <formula>0</formula>
    </cfRule>
  </conditionalFormatting>
  <conditionalFormatting sqref="C29:E29">
    <cfRule type="cellIs" dxfId="32" priority="58" stopIfTrue="1" operator="lessThan">
      <formula>0</formula>
    </cfRule>
  </conditionalFormatting>
  <conditionalFormatting sqref="C28:E28">
    <cfRule type="cellIs" dxfId="31" priority="57" stopIfTrue="1" operator="lessThan">
      <formula>0</formula>
    </cfRule>
  </conditionalFormatting>
  <conditionalFormatting sqref="C30:C33">
    <cfRule type="cellIs" dxfId="30" priority="56" stopIfTrue="1" operator="lessThan">
      <formula>0</formula>
    </cfRule>
  </conditionalFormatting>
  <conditionalFormatting sqref="C34:E34">
    <cfRule type="cellIs" dxfId="29" priority="55" stopIfTrue="1" operator="lessThan">
      <formula>0</formula>
    </cfRule>
  </conditionalFormatting>
  <conditionalFormatting sqref="C36:E36">
    <cfRule type="cellIs" dxfId="28" priority="54" stopIfTrue="1" operator="lessThan">
      <formula>0</formula>
    </cfRule>
  </conditionalFormatting>
  <conditionalFormatting sqref="C38:E38">
    <cfRule type="cellIs" dxfId="27" priority="53" stopIfTrue="1" operator="lessThan">
      <formula>0</formula>
    </cfRule>
  </conditionalFormatting>
  <conditionalFormatting sqref="C41:C43">
    <cfRule type="cellIs" dxfId="26" priority="52" stopIfTrue="1" operator="lessThan">
      <formula>0</formula>
    </cfRule>
  </conditionalFormatting>
  <conditionalFormatting sqref="C46:C47">
    <cfRule type="cellIs" dxfId="25" priority="51" stopIfTrue="1" operator="lessThan">
      <formula>0</formula>
    </cfRule>
  </conditionalFormatting>
  <conditionalFormatting sqref="G27:G28">
    <cfRule type="cellIs" dxfId="24" priority="50" stopIfTrue="1" operator="lessThan">
      <formula>0</formula>
    </cfRule>
  </conditionalFormatting>
  <conditionalFormatting sqref="G36:G38">
    <cfRule type="cellIs" dxfId="23" priority="49" stopIfTrue="1" operator="lessThan">
      <formula>0</formula>
    </cfRule>
  </conditionalFormatting>
  <conditionalFormatting sqref="G41:G46">
    <cfRule type="cellIs" dxfId="22" priority="48" stopIfTrue="1" operator="lessThan">
      <formula>0</formula>
    </cfRule>
  </conditionalFormatting>
  <conditionalFormatting sqref="C14:C17">
    <cfRule type="cellIs" dxfId="21" priority="45" stopIfTrue="1" operator="lessThan">
      <formula>0</formula>
    </cfRule>
  </conditionalFormatting>
  <conditionalFormatting sqref="G32:I32">
    <cfRule type="cellIs" dxfId="20" priority="28" stopIfTrue="1" operator="lessThan">
      <formula>0</formula>
    </cfRule>
  </conditionalFormatting>
  <conditionalFormatting sqref="G33:I33">
    <cfRule type="cellIs" dxfId="19" priority="27" stopIfTrue="1" operator="lessThan">
      <formula>0</formula>
    </cfRule>
  </conditionalFormatting>
  <conditionalFormatting sqref="G31:I31">
    <cfRule type="cellIs" dxfId="18" priority="26" stopIfTrue="1" operator="lessThan">
      <formula>0</formula>
    </cfRule>
  </conditionalFormatting>
  <conditionalFormatting sqref="D19:D23">
    <cfRule type="cellIs" dxfId="17" priority="18" stopIfTrue="1" operator="lessThan">
      <formula>0</formula>
    </cfRule>
  </conditionalFormatting>
  <conditionalFormatting sqref="D25:D26">
    <cfRule type="cellIs" dxfId="16" priority="17" stopIfTrue="1" operator="lessThan">
      <formula>0</formula>
    </cfRule>
  </conditionalFormatting>
  <conditionalFormatting sqref="D30:D33">
    <cfRule type="cellIs" dxfId="15" priority="16" stopIfTrue="1" operator="lessThan">
      <formula>0</formula>
    </cfRule>
  </conditionalFormatting>
  <conditionalFormatting sqref="D41:D43">
    <cfRule type="cellIs" dxfId="14" priority="15" stopIfTrue="1" operator="lessThan">
      <formula>0</formula>
    </cfRule>
  </conditionalFormatting>
  <conditionalFormatting sqref="D46:D47">
    <cfRule type="cellIs" dxfId="13" priority="14" stopIfTrue="1" operator="lessThan">
      <formula>0</formula>
    </cfRule>
  </conditionalFormatting>
  <conditionalFormatting sqref="D14:D17">
    <cfRule type="cellIs" dxfId="12" priority="13" stopIfTrue="1" operator="lessThan">
      <formula>0</formula>
    </cfRule>
  </conditionalFormatting>
  <conditionalFormatting sqref="E19:E23">
    <cfRule type="cellIs" dxfId="11" priority="12" stopIfTrue="1" operator="lessThan">
      <formula>0</formula>
    </cfRule>
  </conditionalFormatting>
  <conditionalFormatting sqref="E25:E26">
    <cfRule type="cellIs" dxfId="10" priority="11" stopIfTrue="1" operator="lessThan">
      <formula>0</formula>
    </cfRule>
  </conditionalFormatting>
  <conditionalFormatting sqref="E30:E33">
    <cfRule type="cellIs" dxfId="9" priority="10" stopIfTrue="1" operator="lessThan">
      <formula>0</formula>
    </cfRule>
  </conditionalFormatting>
  <conditionalFormatting sqref="E41:E43">
    <cfRule type="cellIs" dxfId="8" priority="9" stopIfTrue="1" operator="lessThan">
      <formula>0</formula>
    </cfRule>
  </conditionalFormatting>
  <conditionalFormatting sqref="E46:E47">
    <cfRule type="cellIs" dxfId="7" priority="8" stopIfTrue="1" operator="lessThan">
      <formula>0</formula>
    </cfRule>
  </conditionalFormatting>
  <conditionalFormatting sqref="E14:E17">
    <cfRule type="cellIs" dxfId="6" priority="7" stopIfTrue="1" operator="lessThan">
      <formula>0</formula>
    </cfRule>
  </conditionalFormatting>
  <conditionalFormatting sqref="H27:H28">
    <cfRule type="cellIs" dxfId="5" priority="6" stopIfTrue="1" operator="lessThan">
      <formula>0</formula>
    </cfRule>
  </conditionalFormatting>
  <conditionalFormatting sqref="H36:H38">
    <cfRule type="cellIs" dxfId="4" priority="5" stopIfTrue="1" operator="lessThan">
      <formula>0</formula>
    </cfRule>
  </conditionalFormatting>
  <conditionalFormatting sqref="H41:H46">
    <cfRule type="cellIs" dxfId="3" priority="4" stopIfTrue="1" operator="lessThan">
      <formula>0</formula>
    </cfRule>
  </conditionalFormatting>
  <conditionalFormatting sqref="I27:I28">
    <cfRule type="cellIs" dxfId="2" priority="3" stopIfTrue="1" operator="lessThan">
      <formula>0</formula>
    </cfRule>
  </conditionalFormatting>
  <conditionalFormatting sqref="I36:I38">
    <cfRule type="cellIs" dxfId="1" priority="2" stopIfTrue="1" operator="lessThan">
      <formula>0</formula>
    </cfRule>
  </conditionalFormatting>
  <conditionalFormatting sqref="I41:I4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24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BFAE0B-9B6B-42E8-96EC-709DB3D68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FA2F30-DD61-4214-B632-9546D36EB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A54E1-87ED-47D8-A91A-B779C38FA4CC}">
  <ds:schemaRefs>
    <ds:schemaRef ds:uri="http://schemas.microsoft.com/office/2006/documentManagement/types"/>
    <ds:schemaRef ds:uri="e4b73361-b4d4-4302-9756-11c2890942ab"/>
    <ds:schemaRef ds:uri="http://www.w3.org/XML/1998/namespace"/>
    <ds:schemaRef ds:uri="http://schemas.microsoft.com/sharepoint/v3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</vt:lpstr>
      <vt:lpstr>PyG</vt:lpstr>
      <vt:lpstr>EFE</vt:lpstr>
      <vt:lpstr>PERSONAL</vt:lpstr>
      <vt:lpstr>PAIF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2025-02-12T11:41:28Z</dcterms:created>
  <dcterms:modified xsi:type="dcterms:W3CDTF">2025-02-12T11:41:51Z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