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20" yWindow="-120" windowWidth="29040" windowHeight="15840" activeTab="4"/>
  </bookViews>
  <sheets>
    <sheet name="pyg" sheetId="1" r:id="rId1"/>
    <sheet name="balance" sheetId="2" r:id="rId2"/>
    <sheet name="paif" sheetId="3" r:id="rId3"/>
    <sheet name="efe" sheetId="4" r:id="rId4"/>
    <sheet name="personal" sheetId="5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4" i="5" l="1"/>
  <c r="M23" i="5"/>
  <c r="L23" i="5"/>
  <c r="K23" i="5"/>
  <c r="J23" i="5"/>
  <c r="I23" i="5"/>
  <c r="G23" i="5"/>
  <c r="F23" i="5"/>
  <c r="E23" i="5"/>
  <c r="D23" i="5"/>
  <c r="C23" i="5"/>
  <c r="N22" i="5"/>
  <c r="H22" i="5"/>
  <c r="O22" i="5" s="1"/>
  <c r="N21" i="5"/>
  <c r="H21" i="5"/>
  <c r="O21" i="5" s="1"/>
  <c r="N20" i="5"/>
  <c r="H20" i="5"/>
  <c r="O20" i="5" s="1"/>
  <c r="N19" i="5"/>
  <c r="H19" i="5"/>
  <c r="O19" i="5" s="1"/>
  <c r="N18" i="5"/>
  <c r="H18" i="5"/>
  <c r="O17" i="5"/>
  <c r="N17" i="5"/>
  <c r="H17" i="5"/>
  <c r="N16" i="5"/>
  <c r="H16" i="5"/>
  <c r="O16" i="5" s="1"/>
  <c r="N15" i="5"/>
  <c r="H15" i="5"/>
  <c r="O15" i="5" s="1"/>
  <c r="N14" i="5"/>
  <c r="H14" i="5"/>
  <c r="O14" i="5" s="1"/>
  <c r="O13" i="5"/>
  <c r="N13" i="5"/>
  <c r="H13" i="5"/>
  <c r="N12" i="5"/>
  <c r="H12" i="5"/>
  <c r="O12" i="5" s="1"/>
  <c r="N11" i="5"/>
  <c r="O11" i="5" s="1"/>
  <c r="H11" i="5"/>
  <c r="N10" i="5"/>
  <c r="H10" i="5"/>
  <c r="N9" i="5"/>
  <c r="N23" i="5" s="1"/>
  <c r="N26" i="5" s="1"/>
  <c r="H9" i="5"/>
  <c r="H23" i="5" s="1"/>
  <c r="H26" i="5" s="1"/>
  <c r="O26" i="5" s="1"/>
  <c r="C48" i="3"/>
  <c r="E44" i="3"/>
  <c r="D44" i="3"/>
  <c r="C44" i="3"/>
  <c r="H43" i="3"/>
  <c r="I39" i="3"/>
  <c r="H39" i="3"/>
  <c r="G39" i="3"/>
  <c r="E39" i="3"/>
  <c r="D39" i="3"/>
  <c r="C39" i="3"/>
  <c r="I34" i="3"/>
  <c r="H34" i="3"/>
  <c r="G34" i="3"/>
  <c r="H30" i="3"/>
  <c r="H29" i="3" s="1"/>
  <c r="I29" i="3"/>
  <c r="G29" i="3"/>
  <c r="E26" i="3"/>
  <c r="D26" i="3"/>
  <c r="C26" i="3"/>
  <c r="I25" i="3"/>
  <c r="H25" i="3"/>
  <c r="G25" i="3"/>
  <c r="E25" i="3"/>
  <c r="E23" i="3" s="1"/>
  <c r="E11" i="3" s="1"/>
  <c r="E48" i="3" s="1"/>
  <c r="I50" i="3" s="1"/>
  <c r="D24" i="3"/>
  <c r="D23" i="3"/>
  <c r="D11" i="3" s="1"/>
  <c r="D48" i="3" s="1"/>
  <c r="C23" i="3"/>
  <c r="D20" i="3"/>
  <c r="E17" i="3"/>
  <c r="D17" i="3"/>
  <c r="C17" i="3"/>
  <c r="H11" i="3"/>
  <c r="E12" i="3"/>
  <c r="D12" i="3"/>
  <c r="C12" i="3"/>
  <c r="I11" i="3"/>
  <c r="I48" i="3" s="1"/>
  <c r="G11" i="3"/>
  <c r="G48" i="3" s="1"/>
  <c r="C50" i="3" s="1"/>
  <c r="C11" i="3"/>
  <c r="I9" i="3"/>
  <c r="H9" i="3"/>
  <c r="G9" i="3"/>
  <c r="I42" i="2"/>
  <c r="I61" i="2"/>
  <c r="I60" i="2" s="1"/>
  <c r="H61" i="2"/>
  <c r="H60" i="2" s="1"/>
  <c r="H51" i="2" s="1"/>
  <c r="G60" i="2"/>
  <c r="F60" i="2"/>
  <c r="C59" i="2"/>
  <c r="C58" i="2" s="1"/>
  <c r="D58" i="2"/>
  <c r="B58" i="2"/>
  <c r="I54" i="2"/>
  <c r="H54" i="2"/>
  <c r="G54" i="2"/>
  <c r="F54" i="2"/>
  <c r="D50" i="2"/>
  <c r="C50" i="2"/>
  <c r="B50" i="2"/>
  <c r="C44" i="2"/>
  <c r="C42" i="2" s="1"/>
  <c r="D43" i="2"/>
  <c r="D42" i="2" s="1"/>
  <c r="H42" i="2"/>
  <c r="G42" i="2"/>
  <c r="F42" i="2"/>
  <c r="B42" i="2"/>
  <c r="I37" i="2"/>
  <c r="H37" i="2"/>
  <c r="G37" i="2"/>
  <c r="F37" i="2"/>
  <c r="C37" i="2"/>
  <c r="D37" i="2" s="1"/>
  <c r="D35" i="2" s="1"/>
  <c r="G36" i="2"/>
  <c r="B35" i="2"/>
  <c r="H31" i="2"/>
  <c r="G31" i="2"/>
  <c r="F31" i="2"/>
  <c r="D31" i="2"/>
  <c r="I26" i="2"/>
  <c r="H26" i="2"/>
  <c r="G26" i="2"/>
  <c r="F26" i="2"/>
  <c r="C26" i="2"/>
  <c r="C24" i="2" s="1"/>
  <c r="D24" i="2"/>
  <c r="B24" i="2"/>
  <c r="D21" i="2"/>
  <c r="C21" i="2"/>
  <c r="B21" i="2"/>
  <c r="I19" i="2"/>
  <c r="H19" i="2"/>
  <c r="G19" i="2"/>
  <c r="F19" i="2"/>
  <c r="I17" i="2"/>
  <c r="I16" i="2" s="1"/>
  <c r="D17" i="2"/>
  <c r="C17" i="2"/>
  <c r="B17" i="2"/>
  <c r="H16" i="2"/>
  <c r="G16" i="2"/>
  <c r="F16" i="2"/>
  <c r="I12" i="2"/>
  <c r="H12" i="2"/>
  <c r="G12" i="2"/>
  <c r="F12" i="2"/>
  <c r="D11" i="2"/>
  <c r="C11" i="2"/>
  <c r="B11" i="2"/>
  <c r="I8" i="2"/>
  <c r="H8" i="2"/>
  <c r="G8" i="2"/>
  <c r="F8" i="2"/>
  <c r="F89" i="1"/>
  <c r="E89" i="1"/>
  <c r="D89" i="1"/>
  <c r="F73" i="1"/>
  <c r="E73" i="1"/>
  <c r="D73" i="1"/>
  <c r="F69" i="1"/>
  <c r="E69" i="1"/>
  <c r="D69" i="1"/>
  <c r="F65" i="1"/>
  <c r="E65" i="1"/>
  <c r="D65" i="1"/>
  <c r="F61" i="1"/>
  <c r="E61" i="1"/>
  <c r="D61" i="1"/>
  <c r="D57" i="1" s="1"/>
  <c r="D76" i="1" s="1"/>
  <c r="F58" i="1"/>
  <c r="F57" i="1" s="1"/>
  <c r="F76" i="1" s="1"/>
  <c r="E58" i="1"/>
  <c r="D58" i="1"/>
  <c r="E57" i="1"/>
  <c r="E76" i="1" s="1"/>
  <c r="F53" i="1"/>
  <c r="E53" i="1"/>
  <c r="D53" i="1"/>
  <c r="F50" i="1"/>
  <c r="E50" i="1"/>
  <c r="D50" i="1"/>
  <c r="F44" i="1"/>
  <c r="E44" i="1"/>
  <c r="D44" i="1"/>
  <c r="F42" i="1"/>
  <c r="F39" i="1" s="1"/>
  <c r="E39" i="1"/>
  <c r="D39" i="1"/>
  <c r="F35" i="1"/>
  <c r="E35" i="1"/>
  <c r="D35" i="1"/>
  <c r="F31" i="1"/>
  <c r="E31" i="1"/>
  <c r="D31" i="1"/>
  <c r="F26" i="1"/>
  <c r="E26" i="1"/>
  <c r="D26" i="1"/>
  <c r="D23" i="1"/>
  <c r="D19" i="1" s="1"/>
  <c r="D13" i="1" s="1"/>
  <c r="F19" i="1"/>
  <c r="E19" i="1"/>
  <c r="E16" i="1"/>
  <c r="E14" i="1" s="1"/>
  <c r="E13" i="1" s="1"/>
  <c r="F14" i="1"/>
  <c r="F13" i="1" s="1"/>
  <c r="D14" i="1"/>
  <c r="G51" i="2" l="1"/>
  <c r="O9" i="5"/>
  <c r="O10" i="5"/>
  <c r="O18" i="5"/>
  <c r="O23" i="5"/>
  <c r="H48" i="3"/>
  <c r="D50" i="3" s="1"/>
  <c r="E50" i="3"/>
  <c r="G50" i="3"/>
  <c r="H11" i="2"/>
  <c r="H10" i="2" s="1"/>
  <c r="F51" i="2"/>
  <c r="F11" i="2"/>
  <c r="F10" i="2" s="1"/>
  <c r="G11" i="2"/>
  <c r="D33" i="2"/>
  <c r="I36" i="2"/>
  <c r="F36" i="2"/>
  <c r="F70" i="2" s="1"/>
  <c r="B10" i="2"/>
  <c r="B70" i="2" s="1"/>
  <c r="C10" i="2"/>
  <c r="D10" i="2"/>
  <c r="B33" i="2"/>
  <c r="I11" i="2"/>
  <c r="C35" i="2"/>
  <c r="C33" i="2" s="1"/>
  <c r="H36" i="2"/>
  <c r="G10" i="2"/>
  <c r="G70" i="2" s="1"/>
  <c r="I51" i="2"/>
  <c r="I31" i="2"/>
  <c r="E56" i="1"/>
  <c r="D56" i="1"/>
  <c r="D77" i="1" s="1"/>
  <c r="D79" i="1" s="1"/>
  <c r="D84" i="1" s="1"/>
  <c r="F56" i="1"/>
  <c r="F77" i="1" s="1"/>
  <c r="F79" i="1" s="1"/>
  <c r="F84" i="1" s="1"/>
  <c r="E77" i="1"/>
  <c r="E79" i="1" s="1"/>
  <c r="E84" i="1" s="1"/>
  <c r="D70" i="2" l="1"/>
  <c r="C70" i="2"/>
  <c r="H50" i="3"/>
  <c r="I10" i="2"/>
  <c r="I70" i="2" s="1"/>
  <c r="H70" i="2"/>
</calcChain>
</file>

<file path=xl/sharedStrings.xml><?xml version="1.0" encoding="utf-8"?>
<sst xmlns="http://schemas.openxmlformats.org/spreadsheetml/2006/main" count="405" uniqueCount="349">
  <si>
    <t>PRESUPUESTO DE EXPLOTACIÓN. CUENTA DE PÉRDIDAS Y GANANCIAS</t>
  </si>
  <si>
    <t>PRESUPUESTO 2021</t>
  </si>
  <si>
    <t>E - P20 - 01</t>
  </si>
  <si>
    <t xml:space="preserve">CENTRO: </t>
  </si>
  <si>
    <t xml:space="preserve">SECCION: </t>
  </si>
  <si>
    <t>SOCIEDAD: EMPRESA MUNICIPAL DE LA VIVIENDA Y SUELO DE MADRID, S.A.</t>
  </si>
  <si>
    <t>REAL</t>
  </si>
  <si>
    <t>PRESUPUESTO</t>
  </si>
  <si>
    <t>ESTIMADO</t>
  </si>
  <si>
    <t>A) OPERACIONES CONTINUADAS</t>
  </si>
  <si>
    <t xml:space="preserve">      1. Importe neto de la cifra de negocios</t>
  </si>
  <si>
    <t xml:space="preserve">             a) Ventas</t>
  </si>
  <si>
    <t xml:space="preserve">                  Ventas 1</t>
  </si>
  <si>
    <t>º</t>
  </si>
  <si>
    <t xml:space="preserve">                  Arrendamientos</t>
  </si>
  <si>
    <t>venta suelo</t>
  </si>
  <si>
    <t xml:space="preserve">                  Ventas 4</t>
  </si>
  <si>
    <t xml:space="preserve">             b) Prestaciones de servicios</t>
  </si>
  <si>
    <t xml:space="preserve"> - Plan Madre  2017</t>
  </si>
  <si>
    <t xml:space="preserve"> - ARRUS</t>
  </si>
  <si>
    <t xml:space="preserve"> - Plan Madre  2018</t>
  </si>
  <si>
    <t xml:space="preserve"> - Otras encomiendas de gestión</t>
  </si>
  <si>
    <t xml:space="preserve">      2. Variación de existencias de productos terminados y en curso</t>
  </si>
  <si>
    <t xml:space="preserve">      3. Trabajos realizados por la empresa para su activo</t>
  </si>
  <si>
    <t xml:space="preserve">      4. Aprovisionamientos</t>
  </si>
  <si>
    <t xml:space="preserve">              a) Consumo de mercaderías</t>
  </si>
  <si>
    <t xml:space="preserve">              b) Consumo de materias primas y otras materias consumibles</t>
  </si>
  <si>
    <t xml:space="preserve">              c) Trabajos realizados por otras empresas</t>
  </si>
  <si>
    <t xml:space="preserve">              d) Deterioro de mercaderías, materias primas y otros aprov.</t>
  </si>
  <si>
    <t xml:space="preserve">      5. Otros ingresos de explotación</t>
  </si>
  <si>
    <t xml:space="preserve">              a) Ingresos accesorios y otros de gestión corriente</t>
  </si>
  <si>
    <t xml:space="preserve">              b) Subvenciones de explotación del Ayuntamiento</t>
  </si>
  <si>
    <t xml:space="preserve">              c) Otras subvenciones de explotación</t>
  </si>
  <si>
    <t xml:space="preserve">      6. Gastos de personal</t>
  </si>
  <si>
    <t xml:space="preserve">              a) Sueldos, salarios y asimilados</t>
  </si>
  <si>
    <t xml:space="preserve">              b) Cargas sociales</t>
  </si>
  <si>
    <t xml:space="preserve">              c) Provisiones</t>
  </si>
  <si>
    <t xml:space="preserve">      7. Otros gastos de explotación</t>
  </si>
  <si>
    <t xml:space="preserve">              a) Servicios exteriores</t>
  </si>
  <si>
    <t xml:space="preserve">              b) Tributos</t>
  </si>
  <si>
    <t xml:space="preserve">              c) Pérdidas, deterioro y var. de prov. por op. comerciales</t>
  </si>
  <si>
    <t xml:space="preserve">              d) Otros gastos de gestión corriente</t>
  </si>
  <si>
    <t xml:space="preserve">      8. Amortización del inmovilizado</t>
  </si>
  <si>
    <t xml:space="preserve">              a) Amortización del inmovilizado intangible</t>
  </si>
  <si>
    <t xml:space="preserve">              b) Amortización del inmovilizado material</t>
  </si>
  <si>
    <t xml:space="preserve">              c) Amortización de las inversiones inmobiliarias</t>
  </si>
  <si>
    <t xml:space="preserve">      9. Imputación de subvenciones de inmovilizado no financiero y otras</t>
  </si>
  <si>
    <t xml:space="preserve">     10. Excesos de provisiones</t>
  </si>
  <si>
    <t xml:space="preserve">     11. Deterioro y resultado por enajenaciones del inmovilizado</t>
  </si>
  <si>
    <t xml:space="preserve">               a) Deterioros y pérdidas</t>
  </si>
  <si>
    <t xml:space="preserve">               b) Resultados por enajenaciones y otros</t>
  </si>
  <si>
    <t xml:space="preserve">     12. Otros resultados</t>
  </si>
  <si>
    <t xml:space="preserve">               a) Ingresos excepcionales</t>
  </si>
  <si>
    <t xml:space="preserve">               b) Gastos excepcionales</t>
  </si>
  <si>
    <r>
      <t>A.1) RESULTADO DE EXPLOTACIÓN</t>
    </r>
    <r>
      <rPr>
        <b/>
        <sz val="12"/>
        <rFont val="Arial Narrow"/>
        <family val="2"/>
      </rPr>
      <t xml:space="preserve"> </t>
    </r>
    <r>
      <rPr>
        <b/>
        <sz val="10"/>
        <rFont val="Arial Narrow"/>
        <family val="2"/>
      </rPr>
      <t>(1+2+3+4+5+6+7+8+9+10+11+12)</t>
    </r>
  </si>
  <si>
    <t xml:space="preserve">     13. Ingresos financieros</t>
  </si>
  <si>
    <t xml:space="preserve">             a) De participaciones en instrumentos de patrimonio</t>
  </si>
  <si>
    <t xml:space="preserve">                     a.1) En Empresas Municipales, OOAA y Ayto</t>
  </si>
  <si>
    <t xml:space="preserve">                     a.2) En terceros</t>
  </si>
  <si>
    <t xml:space="preserve">             b) De valores negociables y otros instrumentos financieros</t>
  </si>
  <si>
    <t xml:space="preserve">                     b.1) En Empresas Municipales, OOAA y Ayto</t>
  </si>
  <si>
    <t xml:space="preserve">                     b.2) En terceros</t>
  </si>
  <si>
    <t xml:space="preserve">             c) Incorporación al activo de gastos financieros</t>
  </si>
  <si>
    <t xml:space="preserve">     14. Gastos financieros</t>
  </si>
  <si>
    <t xml:space="preserve">            a) Por deudas con el Ayuntamiento, OOAA y Empr.Municipales</t>
  </si>
  <si>
    <t xml:space="preserve">            b) Por deudas con terceros</t>
  </si>
  <si>
    <t xml:space="preserve">            c) Por actualización de provisiones</t>
  </si>
  <si>
    <t xml:space="preserve">     15. Variación de valor razonable en instrumentos financieros</t>
  </si>
  <si>
    <t xml:space="preserve">            a) Cartera de negociación y otros</t>
  </si>
  <si>
    <t xml:space="preserve">            b) Imputación al resultado del ejercicio por AFDV</t>
  </si>
  <si>
    <t xml:space="preserve">     16. Diferencias de cambio</t>
  </si>
  <si>
    <t xml:space="preserve">     17. Deterioro y resultado por enajenaciones de instrumentos financ.</t>
  </si>
  <si>
    <t xml:space="preserve">               b) Resultados por enajenaciones y otras</t>
  </si>
  <si>
    <r>
      <t xml:space="preserve">A.2) RESULTADO FINANCIERO </t>
    </r>
    <r>
      <rPr>
        <b/>
        <sz val="10"/>
        <rFont val="Arial Narrow"/>
        <family val="2"/>
      </rPr>
      <t>(13+14+15+16+17)</t>
    </r>
  </si>
  <si>
    <r>
      <t xml:space="preserve">A.3) RESULTADO ANTES DE IMPUESTOS </t>
    </r>
    <r>
      <rPr>
        <b/>
        <sz val="10"/>
        <rFont val="Arial Narrow"/>
        <family val="2"/>
      </rPr>
      <t>(A.1+A.2)</t>
    </r>
  </si>
  <si>
    <t xml:space="preserve">     18. Impuesto sobre beneficios</t>
  </si>
  <si>
    <r>
      <t xml:space="preserve">A.4) RDO. EJERCICIO PROCEDENTE DE OP. CONTINUADAS </t>
    </r>
    <r>
      <rPr>
        <b/>
        <sz val="10"/>
        <rFont val="Arial Narrow"/>
        <family val="2"/>
      </rPr>
      <t>(A.3+18)</t>
    </r>
  </si>
  <si>
    <t>B) OPERACIONES INTERRUMPIDAS</t>
  </si>
  <si>
    <t xml:space="preserve">     19. Rdo. ejercicio procedente de op. interrumpidas neto de impuestos</t>
  </si>
  <si>
    <t>A.5) RESULTADO DEL EJERCICIO (A.4+19)</t>
  </si>
  <si>
    <t>NOTA: las ventas y/o prestaciones de servicios deben figurar desglosadas, cómo máximo en cuatro apartados, que recojan las diferentes actividades o líneas de negocio.</t>
  </si>
  <si>
    <t>PAGOS POR IMPUESTO BENEFICIOS REALIZADOS DURANTE EL EJERCICIO</t>
  </si>
  <si>
    <t>RETENCIONES DEL EJERCICIO</t>
  </si>
  <si>
    <t>PAGOS A CUENTA DEL EJERCICIO</t>
  </si>
  <si>
    <t>LIQUIDACIÓN IMPUESTO BENEFICIOS EJERCICIO ANTERIOR</t>
  </si>
  <si>
    <t>BALANCE DE SITUACIÓN</t>
  </si>
  <si>
    <t>E - P20 - 03</t>
  </si>
  <si>
    <t>ACTIVO</t>
  </si>
  <si>
    <t>PATRIMONIO NETO Y PASIVO</t>
  </si>
  <si>
    <t>A) ACTIVO NO CORRIENTE</t>
  </si>
  <si>
    <t>A) PATRIMONIO NETO</t>
  </si>
  <si>
    <t xml:space="preserve">     I. Inmovilizado intangible</t>
  </si>
  <si>
    <t>A-1) Fondos Propios</t>
  </si>
  <si>
    <t xml:space="preserve">              1. Desarrollo</t>
  </si>
  <si>
    <t xml:space="preserve">       I. Capital</t>
  </si>
  <si>
    <t xml:space="preserve">              2. Concesiones</t>
  </si>
  <si>
    <t xml:space="preserve">              1. Capital escriturado</t>
  </si>
  <si>
    <t xml:space="preserve">              3. Patentes, licencias, marcas y similares</t>
  </si>
  <si>
    <t xml:space="preserve">              2. (Capital no exigido)</t>
  </si>
  <si>
    <t xml:space="preserve">              4. Aplicaciones informáticas</t>
  </si>
  <si>
    <t xml:space="preserve">      II. Prima de emisión</t>
  </si>
  <si>
    <t xml:space="preserve">              5. Otro inmovilizado intangible</t>
  </si>
  <si>
    <t xml:space="preserve">     III. Reservas</t>
  </si>
  <si>
    <t xml:space="preserve">     II. Inmovilizado material</t>
  </si>
  <si>
    <t xml:space="preserve">             1. Reserva legal</t>
  </si>
  <si>
    <t xml:space="preserve">              1. Terrenos y construcciones</t>
  </si>
  <si>
    <t xml:space="preserve">             2. Otras reservas</t>
  </si>
  <si>
    <t xml:space="preserve">              2. Instalaciones técnicas y otro inmovilizado material</t>
  </si>
  <si>
    <t xml:space="preserve">     IV. Resultados de ejercicios anteriores</t>
  </si>
  <si>
    <t xml:space="preserve">              3. Inmovilizado en curso y anticipos</t>
  </si>
  <si>
    <t xml:space="preserve">            1. Remanente</t>
  </si>
  <si>
    <t xml:space="preserve">     III. Inversiones inmobiliarias</t>
  </si>
  <si>
    <t xml:space="preserve">            2. (Resultados negativos de ejercicios anteriores)</t>
  </si>
  <si>
    <t xml:space="preserve">              1. Terrenos</t>
  </si>
  <si>
    <t xml:space="preserve">     V. Otras aportaciones de socios</t>
  </si>
  <si>
    <t xml:space="preserve">              2. Construcciones</t>
  </si>
  <si>
    <t xml:space="preserve">    VI. Resultado del ejercicio</t>
  </si>
  <si>
    <t xml:space="preserve">     IV. Inversiones financieras a largo plazo</t>
  </si>
  <si>
    <t xml:space="preserve">   VII. (Dividendo a cuenta)</t>
  </si>
  <si>
    <t xml:space="preserve">              1. Instrumentos de patrimonio</t>
  </si>
  <si>
    <t xml:space="preserve">              2. Créditos a terceros</t>
  </si>
  <si>
    <t>A-2) Ajustes por cambios de valor</t>
  </si>
  <si>
    <t xml:space="preserve">              3. Valores representativos de deuda</t>
  </si>
  <si>
    <t xml:space="preserve">     I. Activos financieros disponibles venta</t>
  </si>
  <si>
    <t xml:space="preserve">              4. Derivados</t>
  </si>
  <si>
    <t xml:space="preserve">    II. Operaciones de cobertura</t>
  </si>
  <si>
    <t xml:space="preserve">              5. Inv.financ. en Empresas Municipales, OOAA y Ayto</t>
  </si>
  <si>
    <t xml:space="preserve">   III. Otros</t>
  </si>
  <si>
    <t xml:space="preserve">              6. Otros activos financieros</t>
  </si>
  <si>
    <t xml:space="preserve">      V. Activos por impuesto diferido</t>
  </si>
  <si>
    <t>A-3) Subvenciones, donaciones y legados recibidos</t>
  </si>
  <si>
    <t xml:space="preserve">     I. Subvenciones de capital del Ayuntamiento</t>
  </si>
  <si>
    <t>B) ACTIVO CORRIENTE</t>
  </si>
  <si>
    <t xml:space="preserve">    II. Otras subvenciones de capital</t>
  </si>
  <si>
    <t xml:space="preserve">       I. Activos no corrientes mantenidos para la venta</t>
  </si>
  <si>
    <t xml:space="preserve">   III. Adscripción de bienes</t>
  </si>
  <si>
    <t xml:space="preserve">      II. Existencias</t>
  </si>
  <si>
    <t xml:space="preserve">               1. Comerciales</t>
  </si>
  <si>
    <t>B) PASIVO NO CORRIENTE</t>
  </si>
  <si>
    <t xml:space="preserve">               2. Materias primas y otros aprovisionamientos</t>
  </si>
  <si>
    <t xml:space="preserve">      I. Provisiones a largo plazo</t>
  </si>
  <si>
    <t xml:space="preserve">               3. Productos en curso</t>
  </si>
  <si>
    <t xml:space="preserve">          1. Obligaciones por prestaciones a LP al personal</t>
  </si>
  <si>
    <t xml:space="preserve">               4. Productos terminados</t>
  </si>
  <si>
    <t xml:space="preserve">          2. Actuaciones medioambientales</t>
  </si>
  <si>
    <t xml:space="preserve">               5. Subproductos, residuos y materiales recuperados</t>
  </si>
  <si>
    <t xml:space="preserve">          3. Provisiones por reestructuración</t>
  </si>
  <si>
    <t xml:space="preserve">               6. Anticipos a proveedores</t>
  </si>
  <si>
    <t xml:space="preserve">          4. Otras provisiones</t>
  </si>
  <si>
    <t xml:space="preserve">     III. Deudores comerciales y otras cuentas a cobrar</t>
  </si>
  <si>
    <t xml:space="preserve">    II. Deudas a largo plazo</t>
  </si>
  <si>
    <t xml:space="preserve">              1. Clientes por ventas y prestaciones de servicios</t>
  </si>
  <si>
    <t xml:space="preserve">         1. Deudas con entidades de credito</t>
  </si>
  <si>
    <t xml:space="preserve">              2. Ayuntamiento, OOAA, Empr.Municipales, deudores</t>
  </si>
  <si>
    <t xml:space="preserve">         2. Acreedores por arrendamiento financiero</t>
  </si>
  <si>
    <t xml:space="preserve">              3. Deudores varios</t>
  </si>
  <si>
    <t xml:space="preserve">         3. Derivados</t>
  </si>
  <si>
    <t xml:space="preserve">              4. Personal</t>
  </si>
  <si>
    <t xml:space="preserve">         4. Otros pasivos financieros</t>
  </si>
  <si>
    <t xml:space="preserve">              5. Activos por impuesto corriente</t>
  </si>
  <si>
    <t xml:space="preserve">   III. Deudas con el Ayto., OOAA, Empr.Munic. a LP</t>
  </si>
  <si>
    <t xml:space="preserve">              6. Otros créditos con las Administraciones Públicas</t>
  </si>
  <si>
    <t xml:space="preserve">   IV. Pasivos por impuesto diferido</t>
  </si>
  <si>
    <t xml:space="preserve">              7. Accionistas (socios) por desembolsos exigidos</t>
  </si>
  <si>
    <t xml:space="preserve">   V. Periodificaciones a largo plazo</t>
  </si>
  <si>
    <t xml:space="preserve">     IV. Inversiones financieras a corto plazo</t>
  </si>
  <si>
    <t>C) PASIVO CORRIENTE</t>
  </si>
  <si>
    <t xml:space="preserve">    I. Pasivos vinculados con a.n.c. mantenidos para vta.</t>
  </si>
  <si>
    <t xml:space="preserve">   II. Provisiones a corto plazo</t>
  </si>
  <si>
    <t xml:space="preserve">  III. Deudas a corto plazo</t>
  </si>
  <si>
    <t xml:space="preserve">      V. Periodificaciones a corto plazo</t>
  </si>
  <si>
    <t xml:space="preserve">     VI. Efectivo y otros activos líquidos equivalentes</t>
  </si>
  <si>
    <t xml:space="preserve">              1. Tesorería</t>
  </si>
  <si>
    <t xml:space="preserve">   IV. Deudas con el Ayto., OOAA, Empr.Munic. a CP</t>
  </si>
  <si>
    <t xml:space="preserve">             2. Otros activos líquidos equivalentes</t>
  </si>
  <si>
    <t xml:space="preserve">    V. Acreedores comerciales y otras cuentas a pagar</t>
  </si>
  <si>
    <t xml:space="preserve">        1. Proveedores</t>
  </si>
  <si>
    <t xml:space="preserve">        2. Ayuntamiento, OOAA y Empr.Munic. proveedores</t>
  </si>
  <si>
    <t xml:space="preserve">        3. Acreedores varios</t>
  </si>
  <si>
    <t xml:space="preserve">        4. Personal (remuneraciones pendientes de pago)</t>
  </si>
  <si>
    <t xml:space="preserve">        5. Pasivos por impuesto corriente</t>
  </si>
  <si>
    <t xml:space="preserve">        6. Otras deudas con las Administraciones Publicas</t>
  </si>
  <si>
    <t xml:space="preserve">        7. Anticipos de clientes</t>
  </si>
  <si>
    <t xml:space="preserve">  VI. Periodificaciones a corto plazo</t>
  </si>
  <si>
    <t>TOTAL ACTIVO (A+B)</t>
  </si>
  <si>
    <t>TOTAL PATRIMONIO NETO Y PASIVO (A+B+C)</t>
  </si>
  <si>
    <t>paif</t>
  </si>
  <si>
    <t>PRESUPUESTO DE CAPITAL. PROGRAMA ANUAL DE ACTUACIONES, INVERSIONES Y FINANCIACIÓN (PAIF)</t>
  </si>
  <si>
    <t>E - P20 - 02</t>
  </si>
  <si>
    <t>APLICACIÓN DE FONDOS</t>
  </si>
  <si>
    <t>ORIGEN DE FONDOS</t>
  </si>
  <si>
    <t>1.ADQUISICIONES DE INMOVILIZADO</t>
  </si>
  <si>
    <t>1.AUTOFINANCIACIÓN</t>
  </si>
  <si>
    <t xml:space="preserve">    1.1.Inmovilizado intangible</t>
  </si>
  <si>
    <t xml:space="preserve">   1.1.Resultados del ejercicio</t>
  </si>
  <si>
    <t xml:space="preserve">          1.1.a).Gastos de Investigación y desarrollo</t>
  </si>
  <si>
    <t xml:space="preserve">   1.2.Amortización del inmovilizado</t>
  </si>
  <si>
    <t xml:space="preserve">          1.1.b).Propiedad Industrial</t>
  </si>
  <si>
    <t xml:space="preserve">   1.3.Correcciones valorativas por deterioro</t>
  </si>
  <si>
    <t xml:space="preserve">          1.1.c).Aplicaciones informáticas</t>
  </si>
  <si>
    <t xml:space="preserve">   1.4. Variación de provisiones</t>
  </si>
  <si>
    <t xml:space="preserve">          1.1.d).Otro inmovilizado inmaterial</t>
  </si>
  <si>
    <t xml:space="preserve">   1.5.Imputación de subvenciones</t>
  </si>
  <si>
    <t xml:space="preserve">    1.2.Inmovilizado material</t>
  </si>
  <si>
    <t xml:space="preserve">   1.6.Resultados por bajas y enajenaciones del inmovilizado</t>
  </si>
  <si>
    <t xml:space="preserve">          2.2.a).Terrenos y construcciones</t>
  </si>
  <si>
    <t xml:space="preserve">   1.7.Resultados por bajas y enajenaciones de instrumentos financieros</t>
  </si>
  <si>
    <t xml:space="preserve">          2.2.b).Instalaciones técnicas y maquinaria</t>
  </si>
  <si>
    <t xml:space="preserve">   1.8.Diferencias de cambio</t>
  </si>
  <si>
    <t xml:space="preserve">          2.2.c).Otras instalaciones,utillaje y mobiliario</t>
  </si>
  <si>
    <t xml:space="preserve">   1.9.Variación de valor razonable en instrumentos financieros</t>
  </si>
  <si>
    <t xml:space="preserve">          2.2.d).Anticipos e inmovilizado en curso</t>
  </si>
  <si>
    <t xml:space="preserve">   1.10.Variación de existencias</t>
  </si>
  <si>
    <t xml:space="preserve">          2.2.e).Otro inmovilizado material</t>
  </si>
  <si>
    <t xml:space="preserve">   1.11.Ajuste por impuesto sobre beneficios</t>
  </si>
  <si>
    <t xml:space="preserve">    1.3.Inversiones inmobiliarias</t>
  </si>
  <si>
    <t xml:space="preserve">   1.12.Otros ingresos y gastos</t>
  </si>
  <si>
    <t xml:space="preserve">          1.3.a).Terrenos</t>
  </si>
  <si>
    <t xml:space="preserve">          1.3.b).Construcciones</t>
  </si>
  <si>
    <t>2.APORTACIONES DE CAPITAL</t>
  </si>
  <si>
    <t xml:space="preserve">    1.4.Inversiones financieras.</t>
  </si>
  <si>
    <t xml:space="preserve">    2.1. Del Ayuntamiento de Madrid</t>
  </si>
  <si>
    <t xml:space="preserve">          1.4.a). Instrumentos de patrimonio</t>
  </si>
  <si>
    <t xml:space="preserve">    2.2. De otros accionistas</t>
  </si>
  <si>
    <t xml:space="preserve">          1.4.b). Créditos a terceros</t>
  </si>
  <si>
    <t xml:space="preserve">          1.4.c). Valores representativos de deuda</t>
  </si>
  <si>
    <t>3.SUBVENCIONES DE CAPITAL</t>
  </si>
  <si>
    <t xml:space="preserve">          1.4.d). Derivados</t>
  </si>
  <si>
    <t xml:space="preserve">    3.1.Del Ayuntamiento</t>
  </si>
  <si>
    <t xml:space="preserve">          1.4.e). Inv.financ. en Empresas Municipales, OOAA y Ayto</t>
  </si>
  <si>
    <t xml:space="preserve">    3.2.De otros</t>
  </si>
  <si>
    <t xml:space="preserve">          1.4.f). Otros activos financieros</t>
  </si>
  <si>
    <t xml:space="preserve">    3.3.Adscripción de bienes</t>
  </si>
  <si>
    <t>4.FINANCIACIÓN AJENA A LARGO PLAZO</t>
  </si>
  <si>
    <t>2.REDUCCIÓN DE CAPITAL</t>
  </si>
  <si>
    <t xml:space="preserve">    4.1.Deudas con entidades de crédito</t>
  </si>
  <si>
    <t xml:space="preserve">    4.2.Deuda con el Ayuntamiento, OOAA y Empr.Municipales</t>
  </si>
  <si>
    <t>3.DIVIDENDOS</t>
  </si>
  <si>
    <t xml:space="preserve">    4.3.Otras deudas a l.pl.</t>
  </si>
  <si>
    <t>4.AMORTIZACIÓN DE DEUDA</t>
  </si>
  <si>
    <t>5.ENAJENACIÓN DE INMOVILIZADO</t>
  </si>
  <si>
    <t xml:space="preserve">    5.1.Inmovilizado intangible</t>
  </si>
  <si>
    <t xml:space="preserve">    4.2.Deuda con el Ayuntamiento, OOAA y Empr..Municipales</t>
  </si>
  <si>
    <t xml:space="preserve">    5.2.Inmovilizado material</t>
  </si>
  <si>
    <t xml:space="preserve">    4.3.Otras deudas</t>
  </si>
  <si>
    <t xml:space="preserve">    5.3. Inversiones inmobiliarias</t>
  </si>
  <si>
    <t xml:space="preserve">    5.4. Inversiones financieras</t>
  </si>
  <si>
    <t>5.APLICACION PROVISION (PAGOS)</t>
  </si>
  <si>
    <t xml:space="preserve">    5.5. Activos no corrientes matenidos para venta (no financieros)</t>
  </si>
  <si>
    <t xml:space="preserve">     5.1 Aplicaciones (pagos) provisiones de personal</t>
  </si>
  <si>
    <t xml:space="preserve">    5.6. Activos no corrientes matenidos para venta (financieros)</t>
  </si>
  <si>
    <t xml:space="preserve">     5.2 Aplicaciones (pagos) resto de provisiones</t>
  </si>
  <si>
    <t>TOTAL APLICACIONES</t>
  </si>
  <si>
    <t>TOTAL ORÍGENES</t>
  </si>
  <si>
    <t>EXCESO DE ORÍGENES</t>
  </si>
  <si>
    <t>EXCESO DE APLICACIONES</t>
  </si>
  <si>
    <t>efe</t>
  </si>
  <si>
    <t>ESTADO DE FLUJOS DE EFECTIVO</t>
  </si>
  <si>
    <t>E - P20 - 04</t>
  </si>
  <si>
    <t>A) FLUJOS DE EFECTIVO DE LAS ACTIV. DE EXPLOTACION</t>
  </si>
  <si>
    <t xml:space="preserve">   1. Resultado del ejercicio antes de impuestos</t>
  </si>
  <si>
    <t xml:space="preserve">   2. Ajustes del resultado</t>
  </si>
  <si>
    <t xml:space="preserve">       a) Amortización del inmovilizado</t>
  </si>
  <si>
    <t xml:space="preserve">       b) Correcciones valorativas por deterioro</t>
  </si>
  <si>
    <t xml:space="preserve">       c) Variación de provisiones</t>
  </si>
  <si>
    <t xml:space="preserve">       d) Imputación de subvenciones</t>
  </si>
  <si>
    <t xml:space="preserve">       e) Resultados por bajas y enajenaciones del inmovilizado</t>
  </si>
  <si>
    <t xml:space="preserve">       f) Resultados por bajas y enajenaciones de instrumentos financieros</t>
  </si>
  <si>
    <t xml:space="preserve">       g) Ingresos financieros</t>
  </si>
  <si>
    <t xml:space="preserve">       h) Gastos financieros</t>
  </si>
  <si>
    <t xml:space="preserve">       i) Diferencias de cambio</t>
  </si>
  <si>
    <t xml:space="preserve">       j) Variación de valor razonable en instrumentos financieros</t>
  </si>
  <si>
    <t xml:space="preserve">       k) Otros ingresos y gastos</t>
  </si>
  <si>
    <t xml:space="preserve">   3.Cambios en el capital corriente</t>
  </si>
  <si>
    <t xml:space="preserve">       a) Existencias</t>
  </si>
  <si>
    <t xml:space="preserve">       b) Deudores y otras cuentas a cobrar</t>
  </si>
  <si>
    <t xml:space="preserve">       c) Otros activos corrientes</t>
  </si>
  <si>
    <t xml:space="preserve">       d) Acreedores y otras cuentas a pagar</t>
  </si>
  <si>
    <t xml:space="preserve">       e) Otros pasivos corrientes</t>
  </si>
  <si>
    <t xml:space="preserve">        f) Otros activos y pasivos no corrientes</t>
  </si>
  <si>
    <t xml:space="preserve">   4. Otros flujos de efectivo de las actividades de explotación</t>
  </si>
  <si>
    <t xml:space="preserve">       a) Pagos de intereses </t>
  </si>
  <si>
    <t xml:space="preserve">       b) Cobros de dividendos</t>
  </si>
  <si>
    <t xml:space="preserve">       c)Cobros de intereses</t>
  </si>
  <si>
    <t xml:space="preserve">       d) Pagos o cobros por impuesto sobre beneficios</t>
  </si>
  <si>
    <t xml:space="preserve">       e) Otros pagos o cobros</t>
  </si>
  <si>
    <t xml:space="preserve">   5. Flujos de efectivo de las actividades de explotación (1+2+3+4)</t>
  </si>
  <si>
    <t>B) FLUJOS DE EFECTIVO DE LAS ACTIV. DE INVERSION</t>
  </si>
  <si>
    <t xml:space="preserve">   6. Pagos por inversiones</t>
  </si>
  <si>
    <t xml:space="preserve">       a) Inmovilizado intangible</t>
  </si>
  <si>
    <t xml:space="preserve">       b) Inmovilizado material</t>
  </si>
  <si>
    <t xml:space="preserve">       c) Inversiones inmobiliarias</t>
  </si>
  <si>
    <t xml:space="preserve">       d) Otros activos financieros</t>
  </si>
  <si>
    <t xml:space="preserve">       e) Activos no corrientes mantenidos para venta</t>
  </si>
  <si>
    <t xml:space="preserve">       f) Otros activos</t>
  </si>
  <si>
    <t xml:space="preserve">   7. Cobros por desinversiones</t>
  </si>
  <si>
    <t xml:space="preserve">  8. Flujos de efectivo de las actividades de inversión (6+7)</t>
  </si>
  <si>
    <t>C) FLUJOS DE EFECTIVO DE LAS ACTIV. DE FINANCIACION</t>
  </si>
  <si>
    <t xml:space="preserve">   9.Cobros y pagos por instrumentros de patrimonio</t>
  </si>
  <si>
    <t xml:space="preserve">       a) Emisión de instrumentos de patrimonio</t>
  </si>
  <si>
    <t xml:space="preserve">       b) Amortización de instrumentos de patrimonio</t>
  </si>
  <si>
    <t xml:space="preserve">       c) Subvenciones, donaciones y legados recibidos</t>
  </si>
  <si>
    <t xml:space="preserve">   10. Cobros y pagos por instrumentos de pasivo financiero</t>
  </si>
  <si>
    <t xml:space="preserve">       a) Emisión</t>
  </si>
  <si>
    <t xml:space="preserve">            1. Deudas con entidades de crédito</t>
  </si>
  <si>
    <t xml:space="preserve">            2. Deudas con el Ayuntamiento, OOAA y Empr. Municipales</t>
  </si>
  <si>
    <t xml:space="preserve">            3. Otras deudas</t>
  </si>
  <si>
    <t xml:space="preserve">       b) Devolución y amortización de</t>
  </si>
  <si>
    <t xml:space="preserve">   11. Pagos por dividendos y remun. de otros instr. de patrimonio</t>
  </si>
  <si>
    <t xml:space="preserve">       a) Dividendos</t>
  </si>
  <si>
    <t xml:space="preserve">       b) Remuneración de otros instrumentos de patrimonio</t>
  </si>
  <si>
    <t xml:space="preserve">  12. Flujos de efectivo de las actividades de financiación (9+10+11)</t>
  </si>
  <si>
    <t>D) EFECTO DE LAS VARIACIONES DE LOS TIPOS DE CAMBIO</t>
  </si>
  <si>
    <t>E) AUMENTO / DISMINUCION NETA DEL EFECTIVO
 O EQUIVALENTES   (5+8+12+D)</t>
  </si>
  <si>
    <t>Efectivo o equvalentes al comienzo del ejercicio</t>
  </si>
  <si>
    <t>Efectivo o equvalentes al final del ejercicio</t>
  </si>
  <si>
    <t>PERSONAL AL SERVICIO DE LA EMPRESA</t>
  </si>
  <si>
    <t>E - P20 - 05</t>
  </si>
  <si>
    <t>PERSONAL (A)</t>
  </si>
  <si>
    <t>Nº TOTAL(B)</t>
  </si>
  <si>
    <t>COSTE PRESUPUESTO AÑO 2021</t>
  </si>
  <si>
    <t>COSTE ESTIMADO AÑO 2020</t>
  </si>
  <si>
    <t>(1)/(2)</t>
  </si>
  <si>
    <t>(Clasificado por categorías profesionales)</t>
  </si>
  <si>
    <t>PREV. 2019</t>
  </si>
  <si>
    <t>REMUN. INTEGRAS(C)</t>
  </si>
  <si>
    <t>ANTIGÜEDAD</t>
  </si>
  <si>
    <t>HORAS EXT.</t>
  </si>
  <si>
    <t>SEG. SOCIAL</t>
  </si>
  <si>
    <t>TOTAL COSTE(1)</t>
  </si>
  <si>
    <t>ESTIM 2018</t>
  </si>
  <si>
    <t>TOTAL COSTE(2)</t>
  </si>
  <si>
    <t>%</t>
  </si>
  <si>
    <t>CONSEJERO DELEGADO Y GERENTE</t>
  </si>
  <si>
    <t>GRUPO 0 NIVEL 1</t>
  </si>
  <si>
    <t>GRUPO 1 NIVEL 2</t>
  </si>
  <si>
    <t>GRUPO 1 NIVEL 3</t>
  </si>
  <si>
    <t>GRUPO 1 NIVEL 4</t>
  </si>
  <si>
    <t>GRUPO 1 NIVEL 5</t>
  </si>
  <si>
    <t>GRUPO 2 NIVEL 6</t>
  </si>
  <si>
    <t>GRUPO 2 NIVEL 7.1</t>
  </si>
  <si>
    <t>GRUPO 2 NIVEL 7</t>
  </si>
  <si>
    <t>GRUPO 2 NIVEL 8</t>
  </si>
  <si>
    <t>GRUPO 3 NIVEL 9</t>
  </si>
  <si>
    <t>TOTAL</t>
  </si>
  <si>
    <t>Coste de complementos de pensiones y otras cargas sociales:</t>
  </si>
  <si>
    <t>(A). Personal clasificado por categorias profesionales según Convenio. Además se incluiran las categorias necesarias para reflejar el personal fuera de Convenio.</t>
  </si>
  <si>
    <t>(B). Plantilla media, se calculará ponderando los períodos de contratación de los trabajadores.Se incluye personal alta dirección.</t>
  </si>
  <si>
    <t>(C). Por todos los conceptos, salvo antigüedad, complementos de pensiones, horas extras y Seguridad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</si>
</sst>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"/>
  </numFmts>
  <fonts count="18" x14ac:knownFonts="1">
    <font>
      <sz val="11"/>
      <color theme="1"/>
      <name val="Calibri"/>
      <family val="2"/>
      <scheme val="minor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0"/>
      <name val="Arial Narrow"/>
      <family val="2"/>
    </font>
    <font>
      <b/>
      <sz val="10"/>
      <name val="Arial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b/>
      <sz val="11"/>
      <name val="Arial"/>
      <family val="2"/>
    </font>
    <font>
      <u/>
      <sz val="10"/>
      <name val="Arial Narrow"/>
      <family val="2"/>
    </font>
    <font>
      <b/>
      <sz val="13"/>
      <name val="Arial Narrow"/>
      <family val="2"/>
    </font>
    <font>
      <sz val="10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sz val="8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Fill="0"/>
  </cellStyleXfs>
  <cellXfs count="26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/>
    </xf>
    <xf numFmtId="14" fontId="2" fillId="2" borderId="4" xfId="0" applyNumberFormat="1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3" fontId="4" fillId="0" borderId="13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4" fontId="4" fillId="0" borderId="12" xfId="0" applyNumberFormat="1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" fontId="4" fillId="0" borderId="13" xfId="0" applyNumberFormat="1" applyFont="1" applyBorder="1" applyAlignment="1">
      <alignment vertical="center"/>
    </xf>
    <xf numFmtId="0" fontId="6" fillId="0" borderId="9" xfId="0" applyFont="1" applyBorder="1" applyAlignment="1" applyProtection="1">
      <alignment vertical="center"/>
      <protection locked="0"/>
    </xf>
    <xf numFmtId="4" fontId="4" fillId="0" borderId="13" xfId="0" applyNumberFormat="1" applyFont="1" applyBorder="1" applyAlignment="1" applyProtection="1">
      <alignment vertical="center"/>
      <protection locked="0"/>
    </xf>
    <xf numFmtId="4" fontId="4" fillId="0" borderId="12" xfId="0" applyNumberFormat="1" applyFont="1" applyBorder="1" applyAlignment="1" applyProtection="1">
      <alignment vertical="center"/>
      <protection locked="0"/>
    </xf>
    <xf numFmtId="3" fontId="0" fillId="0" borderId="0" xfId="0" applyNumberFormat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6" fillId="0" borderId="14" xfId="0" applyFont="1" applyBorder="1" applyAlignment="1">
      <alignment vertical="center"/>
    </xf>
    <xf numFmtId="3" fontId="4" fillId="0" borderId="15" xfId="0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4" fontId="4" fillId="0" borderId="15" xfId="0" applyNumberFormat="1" applyFont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3" fontId="4" fillId="0" borderId="16" xfId="0" applyNumberFormat="1" applyFont="1" applyBorder="1" applyAlignment="1">
      <alignment vertical="center"/>
    </xf>
    <xf numFmtId="4" fontId="4" fillId="0" borderId="17" xfId="0" applyNumberFormat="1" applyFont="1" applyBorder="1" applyAlignment="1">
      <alignment vertical="center"/>
    </xf>
    <xf numFmtId="4" fontId="4" fillId="0" borderId="16" xfId="0" applyNumberFormat="1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4" fontId="10" fillId="0" borderId="20" xfId="0" applyNumberFormat="1" applyFont="1" applyBorder="1" applyAlignment="1">
      <alignment vertical="center"/>
    </xf>
    <xf numFmtId="4" fontId="10" fillId="0" borderId="19" xfId="0" applyNumberFormat="1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4" fontId="4" fillId="0" borderId="21" xfId="0" applyNumberFormat="1" applyFont="1" applyBorder="1" applyAlignment="1">
      <alignment vertical="center"/>
    </xf>
    <xf numFmtId="4" fontId="4" fillId="0" borderId="10" xfId="0" applyNumberFormat="1" applyFont="1" applyBorder="1" applyAlignment="1">
      <alignment vertical="center"/>
    </xf>
    <xf numFmtId="4" fontId="4" fillId="0" borderId="22" xfId="0" applyNumberFormat="1" applyFont="1" applyBorder="1" applyAlignment="1" applyProtection="1">
      <alignment vertical="center"/>
      <protection locked="0"/>
    </xf>
    <xf numFmtId="4" fontId="4" fillId="0" borderId="10" xfId="0" applyNumberFormat="1" applyFont="1" applyBorder="1" applyAlignment="1" applyProtection="1">
      <alignment vertical="center"/>
      <protection locked="0"/>
    </xf>
    <xf numFmtId="0" fontId="8" fillId="0" borderId="2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4" fillId="0" borderId="24" xfId="0" applyNumberFormat="1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4" fontId="3" fillId="0" borderId="26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" fontId="4" fillId="0" borderId="28" xfId="0" applyNumberFormat="1" applyFont="1" applyBorder="1" applyAlignment="1">
      <alignment vertical="center"/>
    </xf>
    <xf numFmtId="4" fontId="4" fillId="3" borderId="12" xfId="0" applyNumberFormat="1" applyFont="1" applyFill="1" applyBorder="1" applyAlignment="1" applyProtection="1">
      <alignment vertical="center"/>
      <protection locked="0"/>
    </xf>
    <xf numFmtId="4" fontId="0" fillId="0" borderId="0" xfId="0" applyNumberFormat="1" applyAlignment="1">
      <alignment horizontal="left" vertical="center"/>
    </xf>
    <xf numFmtId="4" fontId="0" fillId="0" borderId="27" xfId="0" applyNumberFormat="1" applyBorder="1" applyAlignment="1">
      <alignment horizontal="left" vertical="center"/>
    </xf>
    <xf numFmtId="4" fontId="4" fillId="3" borderId="16" xfId="0" applyNumberFormat="1" applyFont="1" applyFill="1" applyBorder="1" applyAlignment="1" applyProtection="1">
      <alignment vertical="center"/>
      <protection locked="0"/>
    </xf>
    <xf numFmtId="4" fontId="4" fillId="3" borderId="29" xfId="0" applyNumberFormat="1" applyFont="1" applyFill="1" applyBorder="1" applyAlignment="1" applyProtection="1">
      <alignment vertical="center"/>
      <protection locked="0"/>
    </xf>
    <xf numFmtId="0" fontId="3" fillId="2" borderId="30" xfId="0" applyFont="1" applyFill="1" applyBorder="1" applyAlignment="1">
      <alignment horizontal="center" vertical="center"/>
    </xf>
    <xf numFmtId="3" fontId="4" fillId="0" borderId="31" xfId="0" applyNumberFormat="1" applyFont="1" applyBorder="1" applyAlignment="1">
      <alignment horizontal="center" vertical="center"/>
    </xf>
    <xf numFmtId="4" fontId="4" fillId="0" borderId="15" xfId="0" applyNumberFormat="1" applyFont="1" applyBorder="1" applyAlignment="1">
      <alignment vertical="center"/>
    </xf>
    <xf numFmtId="4" fontId="4" fillId="0" borderId="32" xfId="0" applyNumberFormat="1" applyFont="1" applyBorder="1" applyAlignment="1">
      <alignment vertical="center"/>
    </xf>
    <xf numFmtId="4" fontId="10" fillId="0" borderId="33" xfId="0" applyNumberFormat="1" applyFont="1" applyBorder="1" applyAlignment="1">
      <alignment vertical="center"/>
    </xf>
    <xf numFmtId="4" fontId="4" fillId="0" borderId="34" xfId="0" applyNumberFormat="1" applyFont="1" applyBorder="1" applyAlignment="1">
      <alignment vertical="center"/>
    </xf>
    <xf numFmtId="4" fontId="4" fillId="0" borderId="35" xfId="0" applyNumberFormat="1" applyFont="1" applyBorder="1" applyAlignment="1" applyProtection="1">
      <alignment vertical="center"/>
      <protection locked="0"/>
    </xf>
    <xf numFmtId="4" fontId="4" fillId="0" borderId="34" xfId="0" applyNumberFormat="1" applyFont="1" applyBorder="1" applyAlignment="1" applyProtection="1">
      <alignment vertical="center"/>
      <protection locked="0"/>
    </xf>
    <xf numFmtId="4" fontId="4" fillId="0" borderId="36" xfId="0" applyNumberFormat="1" applyFont="1" applyBorder="1" applyAlignment="1">
      <alignment vertical="center"/>
    </xf>
    <xf numFmtId="4" fontId="3" fillId="0" borderId="37" xfId="0" applyNumberFormat="1" applyFont="1" applyBorder="1" applyAlignment="1">
      <alignment vertical="center"/>
    </xf>
    <xf numFmtId="14" fontId="2" fillId="2" borderId="38" xfId="0" applyNumberFormat="1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3" fontId="4" fillId="0" borderId="40" xfId="0" applyNumberFormat="1" applyFont="1" applyBorder="1" applyAlignment="1">
      <alignment horizontal="center" vertical="center"/>
    </xf>
    <xf numFmtId="3" fontId="4" fillId="0" borderId="22" xfId="0" applyNumberFormat="1" applyFont="1" applyBorder="1" applyAlignment="1">
      <alignment vertical="center"/>
    </xf>
    <xf numFmtId="4" fontId="4" fillId="0" borderId="41" xfId="0" applyNumberFormat="1" applyFont="1" applyBorder="1" applyAlignment="1">
      <alignment vertical="center"/>
    </xf>
    <xf numFmtId="4" fontId="4" fillId="0" borderId="22" xfId="0" applyNumberFormat="1" applyFont="1" applyBorder="1" applyAlignment="1">
      <alignment vertical="center"/>
    </xf>
    <xf numFmtId="4" fontId="4" fillId="0" borderId="41" xfId="0" applyNumberFormat="1" applyFont="1" applyBorder="1" applyAlignment="1" applyProtection="1">
      <alignment vertical="center"/>
      <protection locked="0"/>
    </xf>
    <xf numFmtId="4" fontId="4" fillId="0" borderId="42" xfId="0" applyNumberFormat="1" applyFont="1" applyBorder="1" applyAlignment="1">
      <alignment vertical="center"/>
    </xf>
    <xf numFmtId="4" fontId="10" fillId="0" borderId="43" xfId="0" applyNumberFormat="1" applyFont="1" applyBorder="1" applyAlignment="1">
      <alignment vertical="center"/>
    </xf>
    <xf numFmtId="4" fontId="4" fillId="0" borderId="44" xfId="0" applyNumberFormat="1" applyFont="1" applyBorder="1" applyAlignment="1">
      <alignment vertical="center"/>
    </xf>
    <xf numFmtId="4" fontId="4" fillId="0" borderId="44" xfId="0" applyNumberFormat="1" applyFont="1" applyBorder="1" applyAlignment="1" applyProtection="1">
      <alignment vertical="center"/>
      <protection locked="0"/>
    </xf>
    <xf numFmtId="4" fontId="4" fillId="0" borderId="45" xfId="0" applyNumberFormat="1" applyFont="1" applyBorder="1" applyAlignment="1">
      <alignment vertical="center"/>
    </xf>
    <xf numFmtId="4" fontId="3" fillId="0" borderId="46" xfId="0" applyNumberFormat="1" applyFont="1" applyBorder="1" applyAlignment="1">
      <alignment vertical="center"/>
    </xf>
    <xf numFmtId="4" fontId="4" fillId="4" borderId="10" xfId="0" applyNumberFormat="1" applyFont="1" applyFill="1" applyBorder="1" applyAlignment="1" applyProtection="1">
      <alignment vertical="center"/>
      <protection locked="0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2" borderId="38" xfId="0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center" vertical="center"/>
    </xf>
    <xf numFmtId="0" fontId="0" fillId="0" borderId="47" xfId="0" applyBorder="1" applyAlignment="1">
      <alignment vertical="center"/>
    </xf>
    <xf numFmtId="3" fontId="4" fillId="0" borderId="48" xfId="0" applyNumberFormat="1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4" fontId="3" fillId="0" borderId="13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4" fontId="3" fillId="0" borderId="12" xfId="0" applyNumberFormat="1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4" fontId="4" fillId="4" borderId="12" xfId="0" applyNumberFormat="1" applyFont="1" applyFill="1" applyBorder="1" applyAlignment="1">
      <alignment vertical="center"/>
    </xf>
    <xf numFmtId="3" fontId="2" fillId="0" borderId="14" xfId="0" applyNumberFormat="1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3" fontId="8" fillId="0" borderId="14" xfId="0" applyNumberFormat="1" applyFont="1" applyBorder="1" applyAlignment="1">
      <alignment vertical="center"/>
    </xf>
    <xf numFmtId="3" fontId="6" fillId="0" borderId="14" xfId="0" applyNumberFormat="1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4" fontId="0" fillId="0" borderId="49" xfId="0" applyNumberFormat="1" applyBorder="1"/>
    <xf numFmtId="4" fontId="4" fillId="4" borderId="12" xfId="0" applyNumberFormat="1" applyFont="1" applyFill="1" applyBorder="1" applyAlignment="1" applyProtection="1">
      <alignment vertical="center"/>
      <protection locked="0"/>
    </xf>
    <xf numFmtId="3" fontId="6" fillId="0" borderId="9" xfId="0" applyNumberFormat="1" applyFont="1" applyBorder="1" applyAlignment="1">
      <alignment vertical="center"/>
    </xf>
    <xf numFmtId="3" fontId="8" fillId="0" borderId="9" xfId="0" applyNumberFormat="1" applyFont="1" applyBorder="1" applyAlignment="1">
      <alignment vertical="center"/>
    </xf>
    <xf numFmtId="4" fontId="4" fillId="4" borderId="13" xfId="0" applyNumberFormat="1" applyFont="1" applyFill="1" applyBorder="1" applyAlignment="1" applyProtection="1">
      <alignment vertical="center"/>
      <protection locked="0"/>
    </xf>
    <xf numFmtId="0" fontId="8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4" fontId="0" fillId="0" borderId="12" xfId="0" applyNumberFormat="1" applyBorder="1" applyAlignment="1">
      <alignment vertical="center"/>
    </xf>
    <xf numFmtId="4" fontId="0" fillId="0" borderId="13" xfId="0" applyNumberFormat="1" applyBorder="1" applyAlignment="1">
      <alignment vertical="center"/>
    </xf>
    <xf numFmtId="3" fontId="8" fillId="0" borderId="0" xfId="0" applyNumberFormat="1" applyFont="1" applyAlignment="1">
      <alignment vertical="center"/>
    </xf>
    <xf numFmtId="3" fontId="9" fillId="0" borderId="14" xfId="0" applyNumberFormat="1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4" fontId="0" fillId="0" borderId="50" xfId="0" applyNumberFormat="1" applyBorder="1" applyAlignment="1">
      <alignment vertical="center"/>
    </xf>
    <xf numFmtId="4" fontId="0" fillId="0" borderId="51" xfId="0" applyNumberFormat="1" applyBorder="1" applyAlignment="1" applyProtection="1">
      <alignment vertical="center"/>
      <protection locked="0"/>
    </xf>
    <xf numFmtId="0" fontId="2" fillId="0" borderId="52" xfId="0" applyFont="1" applyBorder="1" applyAlignment="1">
      <alignment vertical="center"/>
    </xf>
    <xf numFmtId="4" fontId="3" fillId="0" borderId="53" xfId="0" applyNumberFormat="1" applyFont="1" applyBorder="1" applyAlignment="1">
      <alignment vertical="center"/>
    </xf>
    <xf numFmtId="4" fontId="4" fillId="4" borderId="13" xfId="0" applyNumberFormat="1" applyFont="1" applyFill="1" applyBorder="1" applyAlignment="1">
      <alignment vertical="center"/>
    </xf>
    <xf numFmtId="0" fontId="2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/>
    </xf>
    <xf numFmtId="4" fontId="2" fillId="0" borderId="0" xfId="0" applyNumberFormat="1" applyFont="1"/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3" fontId="8" fillId="0" borderId="34" xfId="0" applyNumberFormat="1" applyFont="1" applyBorder="1" applyAlignment="1">
      <alignment horizontal="center"/>
    </xf>
    <xf numFmtId="3" fontId="8" fillId="0" borderId="11" xfId="0" applyNumberFormat="1" applyFont="1" applyBorder="1" applyAlignment="1">
      <alignment horizontal="center"/>
    </xf>
    <xf numFmtId="0" fontId="2" fillId="0" borderId="9" xfId="0" applyFont="1" applyBorder="1"/>
    <xf numFmtId="4" fontId="3" fillId="0" borderId="12" xfId="0" applyNumberFormat="1" applyFont="1" applyBorder="1"/>
    <xf numFmtId="0" fontId="2" fillId="0" borderId="27" xfId="0" applyFont="1" applyBorder="1"/>
    <xf numFmtId="4" fontId="3" fillId="0" borderId="13" xfId="0" applyNumberFormat="1" applyFont="1" applyBorder="1"/>
    <xf numFmtId="0" fontId="6" fillId="0" borderId="9" xfId="0" applyFont="1" applyBorder="1"/>
    <xf numFmtId="4" fontId="4" fillId="0" borderId="12" xfId="0" applyNumberFormat="1" applyFont="1" applyBorder="1"/>
    <xf numFmtId="0" fontId="6" fillId="0" borderId="0" xfId="0" applyFont="1"/>
    <xf numFmtId="4" fontId="4" fillId="0" borderId="13" xfId="0" applyNumberFormat="1" applyFont="1" applyBorder="1"/>
    <xf numFmtId="4" fontId="4" fillId="0" borderId="12" xfId="0" applyNumberFormat="1" applyFont="1" applyBorder="1" applyProtection="1">
      <protection locked="0"/>
    </xf>
    <xf numFmtId="4" fontId="0" fillId="0" borderId="12" xfId="0" applyNumberFormat="1" applyBorder="1"/>
    <xf numFmtId="4" fontId="0" fillId="0" borderId="13" xfId="0" applyNumberFormat="1" applyBorder="1"/>
    <xf numFmtId="4" fontId="4" fillId="0" borderId="13" xfId="0" applyNumberFormat="1" applyFont="1" applyBorder="1" applyProtection="1">
      <protection locked="0"/>
    </xf>
    <xf numFmtId="4" fontId="10" fillId="0" borderId="12" xfId="0" applyNumberFormat="1" applyFont="1" applyBorder="1"/>
    <xf numFmtId="4" fontId="10" fillId="0" borderId="13" xfId="0" applyNumberFormat="1" applyFont="1" applyBorder="1"/>
    <xf numFmtId="0" fontId="6" fillId="0" borderId="14" xfId="0" applyFont="1" applyBorder="1"/>
    <xf numFmtId="0" fontId="2" fillId="0" borderId="14" xfId="0" applyFont="1" applyBorder="1"/>
    <xf numFmtId="4" fontId="3" fillId="0" borderId="12" xfId="0" applyNumberFormat="1" applyFont="1" applyBorder="1" applyProtection="1">
      <protection locked="0"/>
    </xf>
    <xf numFmtId="4" fontId="14" fillId="0" borderId="15" xfId="0" applyNumberFormat="1" applyFont="1" applyBorder="1"/>
    <xf numFmtId="4" fontId="14" fillId="0" borderId="15" xfId="0" applyNumberFormat="1" applyFont="1" applyBorder="1" applyProtection="1">
      <protection locked="0"/>
    </xf>
    <xf numFmtId="4" fontId="14" fillId="0" borderId="12" xfId="0" applyNumberFormat="1" applyFont="1" applyBorder="1" applyProtection="1">
      <protection locked="0"/>
    </xf>
    <xf numFmtId="4" fontId="4" fillId="0" borderId="30" xfId="0" applyNumberFormat="1" applyFont="1" applyBorder="1"/>
    <xf numFmtId="4" fontId="4" fillId="0" borderId="7" xfId="0" applyNumberFormat="1" applyFont="1" applyBorder="1"/>
    <xf numFmtId="0" fontId="9" fillId="0" borderId="54" xfId="0" applyFont="1" applyBorder="1"/>
    <xf numFmtId="4" fontId="4" fillId="0" borderId="10" xfId="0" applyNumberFormat="1" applyFont="1" applyBorder="1"/>
    <xf numFmtId="4" fontId="4" fillId="0" borderId="21" xfId="0" applyNumberFormat="1" applyFont="1" applyBorder="1"/>
    <xf numFmtId="0" fontId="1" fillId="0" borderId="55" xfId="0" applyFont="1" applyBorder="1"/>
    <xf numFmtId="4" fontId="3" fillId="0" borderId="56" xfId="0" applyNumberFormat="1" applyFont="1" applyBorder="1"/>
    <xf numFmtId="0" fontId="1" fillId="0" borderId="57" xfId="0" applyFont="1" applyBorder="1"/>
    <xf numFmtId="4" fontId="3" fillId="0" borderId="58" xfId="0" applyNumberFormat="1" applyFont="1" applyBorder="1"/>
    <xf numFmtId="0" fontId="9" fillId="0" borderId="14" xfId="0" applyFont="1" applyBorder="1"/>
    <xf numFmtId="4" fontId="13" fillId="0" borderId="10" xfId="0" applyNumberFormat="1" applyFont="1" applyBorder="1"/>
    <xf numFmtId="0" fontId="9" fillId="0" borderId="0" xfId="0" applyFont="1"/>
    <xf numFmtId="4" fontId="13" fillId="0" borderId="21" xfId="0" applyNumberFormat="1" applyFont="1" applyBorder="1"/>
    <xf numFmtId="0" fontId="2" fillId="0" borderId="59" xfId="0" applyFont="1" applyBorder="1"/>
    <xf numFmtId="4" fontId="15" fillId="0" borderId="60" xfId="0" applyNumberFormat="1" applyFont="1" applyBorder="1"/>
    <xf numFmtId="0" fontId="2" fillId="0" borderId="61" xfId="0" applyFont="1" applyBorder="1"/>
    <xf numFmtId="4" fontId="15" fillId="0" borderId="62" xfId="0" applyNumberFormat="1" applyFont="1" applyBorder="1"/>
    <xf numFmtId="0" fontId="16" fillId="0" borderId="0" xfId="0" applyFont="1"/>
    <xf numFmtId="4" fontId="4" fillId="4" borderId="12" xfId="0" applyNumberFormat="1" applyFont="1" applyFill="1" applyBorder="1" applyProtection="1">
      <protection locked="0"/>
    </xf>
    <xf numFmtId="0" fontId="8" fillId="0" borderId="63" xfId="0" applyFont="1" applyBorder="1" applyAlignment="1">
      <alignment vertical="center"/>
    </xf>
    <xf numFmtId="3" fontId="4" fillId="0" borderId="64" xfId="0" applyNumberFormat="1" applyFont="1" applyBorder="1" applyAlignment="1">
      <alignment vertical="center"/>
    </xf>
    <xf numFmtId="4" fontId="4" fillId="0" borderId="64" xfId="0" applyNumberFormat="1" applyFont="1" applyBorder="1" applyAlignment="1">
      <alignment vertical="center"/>
    </xf>
    <xf numFmtId="3" fontId="4" fillId="0" borderId="65" xfId="0" applyNumberFormat="1" applyFont="1" applyBorder="1" applyAlignment="1">
      <alignment vertical="center"/>
    </xf>
    <xf numFmtId="4" fontId="4" fillId="4" borderId="15" xfId="0" applyNumberFormat="1" applyFont="1" applyFill="1" applyBorder="1" applyAlignment="1" applyProtection="1">
      <alignment vertical="center"/>
      <protection locked="0"/>
    </xf>
    <xf numFmtId="3" fontId="4" fillId="0" borderId="17" xfId="0" applyNumberFormat="1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3" fontId="10" fillId="0" borderId="19" xfId="0" applyNumberFormat="1" applyFont="1" applyBorder="1" applyAlignment="1" applyProtection="1">
      <alignment vertical="center"/>
      <protection locked="0"/>
    </xf>
    <xf numFmtId="3" fontId="10" fillId="0" borderId="20" xfId="0" applyNumberFormat="1" applyFont="1" applyBorder="1" applyAlignment="1" applyProtection="1">
      <alignment vertical="center"/>
      <protection locked="0"/>
    </xf>
    <xf numFmtId="3" fontId="4" fillId="0" borderId="21" xfId="0" applyNumberFormat="1" applyFont="1" applyBorder="1" applyAlignment="1">
      <alignment vertical="center"/>
    </xf>
    <xf numFmtId="0" fontId="12" fillId="0" borderId="23" xfId="0" applyFont="1" applyBorder="1" applyAlignment="1">
      <alignment vertical="center" wrapText="1"/>
    </xf>
    <xf numFmtId="4" fontId="15" fillId="0" borderId="19" xfId="0" applyNumberFormat="1" applyFont="1" applyBorder="1" applyAlignment="1">
      <alignment vertical="center"/>
    </xf>
    <xf numFmtId="4" fontId="15" fillId="0" borderId="20" xfId="0" applyNumberFormat="1" applyFont="1" applyBorder="1" applyAlignment="1">
      <alignment vertical="center"/>
    </xf>
    <xf numFmtId="4" fontId="4" fillId="0" borderId="66" xfId="0" applyNumberFormat="1" applyFont="1" applyBorder="1" applyAlignment="1">
      <alignment vertical="center"/>
    </xf>
    <xf numFmtId="4" fontId="4" fillId="0" borderId="65" xfId="0" applyNumberFormat="1" applyFont="1" applyBorder="1" applyAlignment="1">
      <alignment vertical="center"/>
    </xf>
    <xf numFmtId="0" fontId="5" fillId="0" borderId="67" xfId="0" applyFont="1" applyBorder="1" applyAlignment="1">
      <alignment vertical="center"/>
    </xf>
    <xf numFmtId="4" fontId="4" fillId="0" borderId="50" xfId="0" applyNumberFormat="1" applyFont="1" applyBorder="1" applyAlignment="1">
      <alignment vertical="center"/>
    </xf>
    <xf numFmtId="4" fontId="4" fillId="0" borderId="51" xfId="0" applyNumberFormat="1" applyFont="1" applyBorder="1" applyAlignment="1">
      <alignment vertical="center"/>
    </xf>
    <xf numFmtId="4" fontId="0" fillId="0" borderId="0" xfId="0" applyNumberFormat="1"/>
    <xf numFmtId="4" fontId="4" fillId="4" borderId="32" xfId="0" applyNumberFormat="1" applyFont="1" applyFill="1" applyBorder="1" applyAlignment="1" applyProtection="1">
      <alignment vertical="center"/>
      <protection locked="0"/>
    </xf>
    <xf numFmtId="4" fontId="4" fillId="4" borderId="0" xfId="0" applyNumberFormat="1" applyFont="1" applyFill="1" applyAlignment="1">
      <alignment vertical="center"/>
    </xf>
    <xf numFmtId="0" fontId="9" fillId="0" borderId="61" xfId="0" applyFont="1" applyBorder="1"/>
    <xf numFmtId="0" fontId="0" fillId="0" borderId="61" xfId="0" applyBorder="1"/>
    <xf numFmtId="0" fontId="6" fillId="0" borderId="61" xfId="0" applyFont="1" applyBorder="1"/>
    <xf numFmtId="0" fontId="9" fillId="2" borderId="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71" xfId="0" applyFont="1" applyFill="1" applyBorder="1" applyAlignment="1">
      <alignment horizontal="center"/>
    </xf>
    <xf numFmtId="0" fontId="9" fillId="2" borderId="72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9" fillId="2" borderId="73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9" fillId="2" borderId="74" xfId="0" applyFont="1" applyFill="1" applyBorder="1" applyAlignment="1">
      <alignment horizontal="center"/>
    </xf>
    <xf numFmtId="0" fontId="4" fillId="0" borderId="14" xfId="0" applyFont="1" applyBorder="1" applyProtection="1">
      <protection locked="0"/>
    </xf>
    <xf numFmtId="3" fontId="4" fillId="3" borderId="12" xfId="1" applyNumberFormat="1" applyFont="1" applyFill="1" applyBorder="1" applyProtection="1">
      <protection locked="0"/>
    </xf>
    <xf numFmtId="4" fontId="4" fillId="3" borderId="12" xfId="1" applyNumberFormat="1" applyFont="1" applyFill="1" applyBorder="1" applyProtection="1">
      <protection locked="0"/>
    </xf>
    <xf numFmtId="4" fontId="4" fillId="0" borderId="75" xfId="0" applyNumberFormat="1" applyFont="1" applyBorder="1"/>
    <xf numFmtId="3" fontId="4" fillId="0" borderId="13" xfId="1" applyNumberFormat="1" applyFont="1" applyFill="1" applyBorder="1"/>
    <xf numFmtId="10" fontId="4" fillId="0" borderId="75" xfId="0" applyNumberFormat="1" applyFont="1" applyBorder="1"/>
    <xf numFmtId="10" fontId="4" fillId="0" borderId="13" xfId="0" applyNumberFormat="1" applyFont="1" applyBorder="1"/>
    <xf numFmtId="3" fontId="4" fillId="0" borderId="12" xfId="0" applyNumberFormat="1" applyFont="1" applyBorder="1" applyProtection="1">
      <protection locked="0"/>
    </xf>
    <xf numFmtId="4" fontId="4" fillId="0" borderId="76" xfId="0" applyNumberFormat="1" applyFont="1" applyBorder="1" applyProtection="1">
      <protection locked="0"/>
    </xf>
    <xf numFmtId="3" fontId="4" fillId="0" borderId="74" xfId="0" applyNumberFormat="1" applyFont="1" applyBorder="1" applyProtection="1">
      <protection locked="0"/>
    </xf>
    <xf numFmtId="4" fontId="4" fillId="0" borderId="10" xfId="0" applyNumberFormat="1" applyFont="1" applyBorder="1" applyProtection="1">
      <protection locked="0"/>
    </xf>
    <xf numFmtId="4" fontId="4" fillId="0" borderId="77" xfId="0" applyNumberFormat="1" applyFont="1" applyBorder="1"/>
    <xf numFmtId="10" fontId="4" fillId="0" borderId="77" xfId="0" applyNumberFormat="1" applyFont="1" applyBorder="1"/>
    <xf numFmtId="0" fontId="10" fillId="0" borderId="23" xfId="0" applyFont="1" applyBorder="1"/>
    <xf numFmtId="3" fontId="4" fillId="0" borderId="33" xfId="0" applyNumberFormat="1" applyFont="1" applyBorder="1"/>
    <xf numFmtId="4" fontId="4" fillId="0" borderId="33" xfId="0" applyNumberFormat="1" applyFont="1" applyBorder="1"/>
    <xf numFmtId="4" fontId="4" fillId="0" borderId="20" xfId="0" applyNumberFormat="1" applyFont="1" applyBorder="1"/>
    <xf numFmtId="3" fontId="4" fillId="0" borderId="78" xfId="0" applyNumberFormat="1" applyFont="1" applyBorder="1"/>
    <xf numFmtId="4" fontId="4" fillId="0" borderId="19" xfId="0" applyNumberFormat="1" applyFont="1" applyBorder="1"/>
    <xf numFmtId="10" fontId="4" fillId="0" borderId="43" xfId="0" applyNumberFormat="1" applyFont="1" applyBorder="1"/>
    <xf numFmtId="0" fontId="0" fillId="0" borderId="23" xfId="0" applyBorder="1"/>
    <xf numFmtId="0" fontId="2" fillId="0" borderId="73" xfId="0" applyFont="1" applyBorder="1"/>
    <xf numFmtId="0" fontId="0" fillId="0" borderId="73" xfId="0" applyBorder="1"/>
    <xf numFmtId="4" fontId="4" fillId="0" borderId="20" xfId="0" applyNumberFormat="1" applyFont="1" applyBorder="1" applyProtection="1">
      <protection locked="0"/>
    </xf>
    <xf numFmtId="0" fontId="2" fillId="0" borderId="23" xfId="0" applyFont="1" applyBorder="1"/>
    <xf numFmtId="0" fontId="0" fillId="0" borderId="78" xfId="0" applyBorder="1"/>
    <xf numFmtId="0" fontId="6" fillId="0" borderId="19" xfId="0" applyFont="1" applyBorder="1"/>
    <xf numFmtId="10" fontId="4" fillId="0" borderId="20" xfId="0" applyNumberFormat="1" applyFont="1" applyBorder="1"/>
    <xf numFmtId="0" fontId="0" fillId="0" borderId="18" xfId="0" applyBorder="1"/>
    <xf numFmtId="0" fontId="0" fillId="0" borderId="0" xfId="0" applyProtection="1">
      <protection locked="0"/>
    </xf>
    <xf numFmtId="0" fontId="6" fillId="0" borderId="43" xfId="0" applyFont="1" applyBorder="1"/>
    <xf numFmtId="0" fontId="6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6" fillId="0" borderId="73" xfId="0" applyFont="1" applyBorder="1" applyProtection="1">
      <protection locked="0"/>
    </xf>
    <xf numFmtId="0" fontId="6" fillId="0" borderId="44" xfId="0" applyFont="1" applyBorder="1"/>
    <xf numFmtId="10" fontId="17" fillId="0" borderId="20" xfId="0" applyNumberFormat="1" applyFont="1" applyBorder="1"/>
    <xf numFmtId="0" fontId="1" fillId="0" borderId="79" xfId="0" applyFont="1" applyBorder="1"/>
    <xf numFmtId="0" fontId="1" fillId="0" borderId="80" xfId="0" applyFont="1" applyBorder="1" applyProtection="1">
      <protection locked="0"/>
    </xf>
    <xf numFmtId="3" fontId="1" fillId="0" borderId="80" xfId="0" applyNumberFormat="1" applyFont="1" applyBorder="1" applyProtection="1">
      <protection locked="0"/>
    </xf>
    <xf numFmtId="3" fontId="1" fillId="0" borderId="81" xfId="0" applyNumberFormat="1" applyFont="1" applyBorder="1" applyProtection="1">
      <protection locked="0"/>
    </xf>
    <xf numFmtId="4" fontId="3" fillId="0" borderId="82" xfId="0" applyNumberFormat="1" applyFont="1" applyBorder="1"/>
    <xf numFmtId="0" fontId="6" fillId="0" borderId="79" xfId="0" applyFont="1" applyBorder="1" applyProtection="1">
      <protection locked="0"/>
    </xf>
    <xf numFmtId="3" fontId="6" fillId="0" borderId="80" xfId="0" applyNumberFormat="1" applyFont="1" applyBorder="1" applyProtection="1">
      <protection locked="0"/>
    </xf>
    <xf numFmtId="3" fontId="6" fillId="0" borderId="81" xfId="0" applyNumberFormat="1" applyFont="1" applyBorder="1" applyProtection="1">
      <protection locked="0"/>
    </xf>
    <xf numFmtId="10" fontId="14" fillId="0" borderId="83" xfId="0" applyNumberFormat="1" applyFont="1" applyBorder="1"/>
    <xf numFmtId="0" fontId="1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left" vertical="center"/>
    </xf>
    <xf numFmtId="4" fontId="7" fillId="0" borderId="27" xfId="0" applyNumberFormat="1" applyFont="1" applyBorder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4" fontId="0" fillId="0" borderId="27" xfId="0" applyNumberForma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/>
    </xf>
    <xf numFmtId="0" fontId="2" fillId="2" borderId="69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</cellXfs>
  <cellStyles count="2">
    <cellStyle name="Normal" xfId="0" builtinId="0"/>
    <cellStyle name="Normal 2 2" xfId="1"/>
  </cellStyles>
  <dxfs count="6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44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92"/>
  <sheetViews>
    <sheetView topLeftCell="A67" workbookViewId="0">
      <selection activeCell="I84" sqref="I84"/>
    </sheetView>
  </sheetViews>
  <sheetFormatPr baseColWidth="10" defaultRowHeight="15" x14ac:dyDescent="0.25"/>
  <cols>
    <col min="3" max="3" width="39.42578125" customWidth="1"/>
    <col min="4" max="6" width="18.7109375" customWidth="1"/>
  </cols>
  <sheetData>
    <row r="3" spans="2:7" ht="18.75" thickBot="1" x14ac:dyDescent="0.3">
      <c r="B3" s="1"/>
      <c r="C3" s="251" t="s">
        <v>0</v>
      </c>
      <c r="D3" s="251"/>
      <c r="E3" s="251"/>
      <c r="F3" s="251"/>
      <c r="G3" s="1"/>
    </row>
    <row r="4" spans="2:7" ht="17.25" thickTop="1" thickBot="1" x14ac:dyDescent="0.3">
      <c r="B4" s="1"/>
      <c r="C4" s="2" t="s">
        <v>1</v>
      </c>
      <c r="D4" s="2"/>
      <c r="E4" s="2"/>
      <c r="F4" s="3" t="s">
        <v>2</v>
      </c>
      <c r="G4" s="1"/>
    </row>
    <row r="5" spans="2:7" ht="16.5" thickTop="1" x14ac:dyDescent="0.25">
      <c r="B5" s="1"/>
      <c r="C5" s="2" t="s">
        <v>3</v>
      </c>
      <c r="D5" s="2"/>
      <c r="E5" s="2"/>
      <c r="F5" s="1"/>
      <c r="G5" s="1"/>
    </row>
    <row r="6" spans="2:7" ht="15.75" x14ac:dyDescent="0.25">
      <c r="B6" s="1"/>
      <c r="C6" s="2" t="s">
        <v>4</v>
      </c>
      <c r="D6" s="2"/>
      <c r="E6" s="2"/>
      <c r="F6" s="1"/>
      <c r="G6" s="1"/>
    </row>
    <row r="7" spans="2:7" ht="15.75" x14ac:dyDescent="0.25">
      <c r="B7" s="1"/>
      <c r="C7" s="2" t="s">
        <v>5</v>
      </c>
      <c r="D7" s="2"/>
      <c r="E7" s="2"/>
      <c r="F7" s="1"/>
      <c r="G7" s="1"/>
    </row>
    <row r="8" spans="2:7" ht="16.5" thickBot="1" x14ac:dyDescent="0.3">
      <c r="B8" s="1"/>
      <c r="C8" s="2"/>
      <c r="D8" s="2"/>
      <c r="E8" s="2"/>
      <c r="F8" s="1"/>
      <c r="G8" s="1"/>
    </row>
    <row r="9" spans="2:7" ht="15.75" x14ac:dyDescent="0.25">
      <c r="B9" s="1"/>
      <c r="C9" s="4"/>
      <c r="D9" s="5" t="s">
        <v>7</v>
      </c>
      <c r="E9" s="7" t="s">
        <v>8</v>
      </c>
      <c r="F9" s="69" t="s">
        <v>7</v>
      </c>
      <c r="G9" s="1"/>
    </row>
    <row r="10" spans="2:7" ht="16.5" thickBot="1" x14ac:dyDescent="0.3">
      <c r="B10" s="1"/>
      <c r="C10" s="8"/>
      <c r="D10" s="59">
        <v>2020</v>
      </c>
      <c r="E10" s="9">
        <v>2020</v>
      </c>
      <c r="F10" s="70">
        <v>2021</v>
      </c>
      <c r="G10" s="1"/>
    </row>
    <row r="11" spans="2:7" ht="16.5" thickTop="1" x14ac:dyDescent="0.25">
      <c r="B11" s="1"/>
      <c r="C11" s="11"/>
      <c r="D11" s="60"/>
      <c r="E11" s="12"/>
      <c r="F11" s="71"/>
      <c r="G11" s="1"/>
    </row>
    <row r="12" spans="2:7" ht="15.75" x14ac:dyDescent="0.25">
      <c r="B12" s="1"/>
      <c r="C12" s="14" t="s">
        <v>9</v>
      </c>
      <c r="D12" s="27"/>
      <c r="E12" s="15"/>
      <c r="F12" s="72"/>
      <c r="G12" s="1"/>
    </row>
    <row r="13" spans="2:7" ht="16.5" x14ac:dyDescent="0.25">
      <c r="B13" s="1"/>
      <c r="C13" s="17" t="s">
        <v>10</v>
      </c>
      <c r="D13" s="61">
        <f>D14+D19</f>
        <v>14862197.16</v>
      </c>
      <c r="E13" s="18">
        <f>E14+E19</f>
        <v>11062197</v>
      </c>
      <c r="F13" s="73">
        <f>F14+F19</f>
        <v>14750000</v>
      </c>
      <c r="G13" s="1"/>
    </row>
    <row r="14" spans="2:7" x14ac:dyDescent="0.25">
      <c r="B14" s="1"/>
      <c r="C14" s="19" t="s">
        <v>11</v>
      </c>
      <c r="D14" s="61">
        <f>SUM(D15:D18)</f>
        <v>12750000</v>
      </c>
      <c r="E14" s="18">
        <f>SUM(E15:E18)</f>
        <v>9750000</v>
      </c>
      <c r="F14" s="74">
        <f>SUM(F15:F18)</f>
        <v>13750000</v>
      </c>
      <c r="G14" s="1"/>
    </row>
    <row r="15" spans="2:7" x14ac:dyDescent="0.25">
      <c r="B15" s="1"/>
      <c r="C15" s="21" t="s">
        <v>12</v>
      </c>
      <c r="D15" s="29" t="s">
        <v>13</v>
      </c>
      <c r="E15" s="23"/>
      <c r="F15" s="41"/>
      <c r="G15" s="1"/>
    </row>
    <row r="16" spans="2:7" x14ac:dyDescent="0.25">
      <c r="B16" s="1"/>
      <c r="C16" s="21" t="s">
        <v>14</v>
      </c>
      <c r="D16" s="29">
        <v>12750000</v>
      </c>
      <c r="E16" s="23">
        <f>12750000-1000000-2000000</f>
        <v>9750000</v>
      </c>
      <c r="F16" s="41">
        <v>13750000</v>
      </c>
      <c r="G16" s="1"/>
    </row>
    <row r="17" spans="2:7" x14ac:dyDescent="0.25">
      <c r="B17" s="1"/>
      <c r="C17" s="21" t="s">
        <v>15</v>
      </c>
      <c r="D17" s="29"/>
      <c r="E17" s="18"/>
      <c r="F17" s="41"/>
      <c r="G17" s="1"/>
    </row>
    <row r="18" spans="2:7" x14ac:dyDescent="0.25">
      <c r="B18" s="1"/>
      <c r="C18" s="21" t="s">
        <v>16</v>
      </c>
      <c r="D18" s="29"/>
      <c r="E18" s="23"/>
      <c r="F18" s="41"/>
      <c r="G18" s="1"/>
    </row>
    <row r="19" spans="2:7" x14ac:dyDescent="0.25">
      <c r="B19" s="1"/>
      <c r="C19" s="19" t="s">
        <v>17</v>
      </c>
      <c r="D19" s="61">
        <f>SUM(D20:D23)</f>
        <v>2112197.16</v>
      </c>
      <c r="E19" s="18">
        <f>SUM(E20:E23)</f>
        <v>1312197</v>
      </c>
      <c r="F19" s="73">
        <f>SUM(F20:F23)</f>
        <v>1000000</v>
      </c>
      <c r="G19" s="1"/>
    </row>
    <row r="20" spans="2:7" x14ac:dyDescent="0.25">
      <c r="B20" s="1"/>
      <c r="C20" s="21" t="s">
        <v>18</v>
      </c>
      <c r="D20" s="29"/>
      <c r="E20" s="23">
        <v>125000</v>
      </c>
      <c r="F20" s="75"/>
      <c r="G20" s="1"/>
    </row>
    <row r="21" spans="2:7" x14ac:dyDescent="0.25">
      <c r="B21" s="1"/>
      <c r="C21" s="21" t="s">
        <v>19</v>
      </c>
      <c r="D21" s="29">
        <v>226745.16</v>
      </c>
      <c r="E21" s="23">
        <v>100000</v>
      </c>
      <c r="F21" s="41"/>
      <c r="G21" s="1"/>
    </row>
    <row r="22" spans="2:7" x14ac:dyDescent="0.25">
      <c r="B22" s="1"/>
      <c r="C22" s="21" t="s">
        <v>20</v>
      </c>
      <c r="D22" s="29">
        <v>1491120</v>
      </c>
      <c r="E22" s="23">
        <v>1087197</v>
      </c>
      <c r="F22" s="41"/>
      <c r="G22" s="1"/>
    </row>
    <row r="23" spans="2:7" x14ac:dyDescent="0.25">
      <c r="B23" s="24"/>
      <c r="C23" s="21" t="s">
        <v>21</v>
      </c>
      <c r="D23" s="29">
        <f>282135+112197</f>
        <v>394332</v>
      </c>
      <c r="E23" s="23"/>
      <c r="F23" s="41">
        <v>1000000</v>
      </c>
      <c r="G23" s="1"/>
    </row>
    <row r="24" spans="2:7" ht="16.5" x14ac:dyDescent="0.25">
      <c r="B24" s="1"/>
      <c r="C24" s="17" t="s">
        <v>22</v>
      </c>
      <c r="D24" s="29">
        <v>100000</v>
      </c>
      <c r="E24" s="23">
        <v>100000</v>
      </c>
      <c r="F24" s="41"/>
      <c r="G24" s="1"/>
    </row>
    <row r="25" spans="2:7" ht="16.5" x14ac:dyDescent="0.25">
      <c r="B25" s="1"/>
      <c r="C25" s="17" t="s">
        <v>23</v>
      </c>
      <c r="D25" s="29"/>
      <c r="E25" s="23"/>
      <c r="F25" s="41"/>
      <c r="G25" s="1"/>
    </row>
    <row r="26" spans="2:7" ht="16.5" x14ac:dyDescent="0.25">
      <c r="B26" s="1"/>
      <c r="C26" s="25" t="s">
        <v>24</v>
      </c>
      <c r="D26" s="61">
        <f>SUM(D27:D30)</f>
        <v>-11036555.619999999</v>
      </c>
      <c r="E26" s="18">
        <f>SUM(E27:E30)</f>
        <v>-9583884.5700000003</v>
      </c>
      <c r="F26" s="74">
        <f>SUM(F27:F30)</f>
        <v>-11287176.550000001</v>
      </c>
      <c r="G26" s="1"/>
    </row>
    <row r="27" spans="2:7" x14ac:dyDescent="0.25">
      <c r="B27" s="1"/>
      <c r="C27" s="19" t="s">
        <v>25</v>
      </c>
      <c r="D27" s="29">
        <v>-100000</v>
      </c>
      <c r="E27" s="23">
        <v>-100000</v>
      </c>
      <c r="F27" s="41"/>
      <c r="G27" s="1"/>
    </row>
    <row r="28" spans="2:7" x14ac:dyDescent="0.25">
      <c r="B28" s="1"/>
      <c r="C28" s="26" t="s">
        <v>26</v>
      </c>
      <c r="D28" s="29">
        <v>-10936555.619999999</v>
      </c>
      <c r="E28" s="23">
        <v>-9483884.5700000003</v>
      </c>
      <c r="F28" s="41">
        <v>-11287176.550000001</v>
      </c>
      <c r="G28" s="1"/>
    </row>
    <row r="29" spans="2:7" x14ac:dyDescent="0.25">
      <c r="B29" s="1"/>
      <c r="C29" s="26" t="s">
        <v>27</v>
      </c>
      <c r="D29" s="29"/>
      <c r="E29" s="23"/>
      <c r="F29" s="41"/>
      <c r="G29" s="1"/>
    </row>
    <row r="30" spans="2:7" x14ac:dyDescent="0.25">
      <c r="B30" s="1"/>
      <c r="C30" s="26" t="s">
        <v>28</v>
      </c>
      <c r="D30" s="29"/>
      <c r="E30" s="23"/>
      <c r="F30" s="41"/>
      <c r="G30" s="1"/>
    </row>
    <row r="31" spans="2:7" ht="16.5" x14ac:dyDescent="0.25">
      <c r="B31" s="1"/>
      <c r="C31" s="28" t="s">
        <v>29</v>
      </c>
      <c r="D31" s="61">
        <f>SUM(D32:D34)</f>
        <v>58902812.789999999</v>
      </c>
      <c r="E31" s="18">
        <f>SUM(E32:E34)</f>
        <v>59892511.850000001</v>
      </c>
      <c r="F31" s="74">
        <f>SUM(F32:F34)</f>
        <v>58978197.470000006</v>
      </c>
      <c r="G31" s="1"/>
    </row>
    <row r="32" spans="2:7" x14ac:dyDescent="0.25">
      <c r="B32" s="1"/>
      <c r="C32" s="26" t="s">
        <v>30</v>
      </c>
      <c r="D32" s="29">
        <v>500000</v>
      </c>
      <c r="E32" s="23">
        <v>500000</v>
      </c>
      <c r="F32" s="41">
        <v>500000</v>
      </c>
      <c r="G32" s="1"/>
    </row>
    <row r="33" spans="2:7" x14ac:dyDescent="0.25">
      <c r="B33" s="1"/>
      <c r="C33" s="26" t="s">
        <v>31</v>
      </c>
      <c r="D33" s="29">
        <v>57024812.789999999</v>
      </c>
      <c r="E33" s="23">
        <v>58044693.780000001</v>
      </c>
      <c r="F33" s="41">
        <v>55458197.470000006</v>
      </c>
      <c r="G33" s="1"/>
    </row>
    <row r="34" spans="2:7" x14ac:dyDescent="0.25">
      <c r="B34" s="1"/>
      <c r="C34" s="26" t="s">
        <v>32</v>
      </c>
      <c r="D34" s="29">
        <v>1378000</v>
      </c>
      <c r="E34" s="23">
        <v>1347818.07</v>
      </c>
      <c r="F34" s="41">
        <v>3020000</v>
      </c>
      <c r="G34" s="1"/>
    </row>
    <row r="35" spans="2:7" ht="16.5" x14ac:dyDescent="0.25">
      <c r="B35" s="1"/>
      <c r="C35" s="28" t="s">
        <v>33</v>
      </c>
      <c r="D35" s="61">
        <f>SUM(D36:D38)</f>
        <v>-16065767.77</v>
      </c>
      <c r="E35" s="18">
        <f>SUM(E36:E38)</f>
        <v>-15595814.6</v>
      </c>
      <c r="F35" s="74">
        <f>SUM(F36:F38)</f>
        <v>-15606234.790000001</v>
      </c>
      <c r="G35" s="1"/>
    </row>
    <row r="36" spans="2:7" x14ac:dyDescent="0.25">
      <c r="B36" s="1"/>
      <c r="C36" s="26" t="s">
        <v>34</v>
      </c>
      <c r="D36" s="29">
        <v>-12456845.24</v>
      </c>
      <c r="E36" s="23">
        <v>-11725153.74</v>
      </c>
      <c r="F36" s="41">
        <v>-11728663.300000001</v>
      </c>
      <c r="G36" s="1"/>
    </row>
    <row r="37" spans="2:7" x14ac:dyDescent="0.25">
      <c r="B37" s="1"/>
      <c r="C37" s="26" t="s">
        <v>35</v>
      </c>
      <c r="D37" s="29">
        <v>-3608922.53</v>
      </c>
      <c r="E37" s="23">
        <v>-3870660.86</v>
      </c>
      <c r="F37" s="41">
        <v>-3877571.49</v>
      </c>
      <c r="G37" s="1"/>
    </row>
    <row r="38" spans="2:7" x14ac:dyDescent="0.25">
      <c r="B38" s="1"/>
      <c r="C38" s="26" t="s">
        <v>36</v>
      </c>
      <c r="D38" s="29"/>
      <c r="E38" s="23"/>
      <c r="F38" s="41"/>
      <c r="G38" s="1"/>
    </row>
    <row r="39" spans="2:7" ht="16.5" x14ac:dyDescent="0.25">
      <c r="B39" s="1"/>
      <c r="C39" s="28" t="s">
        <v>37</v>
      </c>
      <c r="D39" s="61">
        <f>SUM(D40:D43)</f>
        <v>-27106005.809999999</v>
      </c>
      <c r="E39" s="18">
        <f>SUM(E40:E43)</f>
        <v>-31828421.460000001</v>
      </c>
      <c r="F39" s="74">
        <f>SUM(F40:F43)</f>
        <v>-32413063.089999996</v>
      </c>
      <c r="G39" s="1"/>
    </row>
    <row r="40" spans="2:7" x14ac:dyDescent="0.25">
      <c r="B40" s="1"/>
      <c r="C40" s="26" t="s">
        <v>38</v>
      </c>
      <c r="D40" s="29">
        <v>-20606005.809999999</v>
      </c>
      <c r="E40" s="23">
        <v>-23828421.460000001</v>
      </c>
      <c r="F40" s="41">
        <v>-24233848.209999997</v>
      </c>
      <c r="G40" s="1"/>
    </row>
    <row r="41" spans="2:7" x14ac:dyDescent="0.25">
      <c r="B41" s="1"/>
      <c r="C41" s="26" t="s">
        <v>39</v>
      </c>
      <c r="D41" s="29">
        <v>-6000000</v>
      </c>
      <c r="E41" s="23">
        <v>-6000000</v>
      </c>
      <c r="F41" s="41">
        <v>-7000000</v>
      </c>
      <c r="G41" s="1"/>
    </row>
    <row r="42" spans="2:7" x14ac:dyDescent="0.25">
      <c r="B42" s="1"/>
      <c r="C42" s="26" t="s">
        <v>40</v>
      </c>
      <c r="D42" s="29">
        <v>-500000</v>
      </c>
      <c r="E42" s="23">
        <v>-2000000</v>
      </c>
      <c r="F42" s="41">
        <f>-600000-579214.88</f>
        <v>-1179214.8799999999</v>
      </c>
      <c r="G42" s="1"/>
    </row>
    <row r="43" spans="2:7" x14ac:dyDescent="0.25">
      <c r="B43" s="1"/>
      <c r="C43" s="26" t="s">
        <v>41</v>
      </c>
      <c r="D43" s="29"/>
      <c r="E43" s="23"/>
      <c r="F43" s="41"/>
      <c r="G43" s="1"/>
    </row>
    <row r="44" spans="2:7" ht="16.5" x14ac:dyDescent="0.25">
      <c r="B44" s="1"/>
      <c r="C44" s="28" t="s">
        <v>42</v>
      </c>
      <c r="D44" s="61">
        <f>SUM(D45:D47)</f>
        <v>-14149105.23</v>
      </c>
      <c r="E44" s="18">
        <f>SUM(E45:E47)</f>
        <v>-13539026.220000001</v>
      </c>
      <c r="F44" s="74">
        <f>SUM(F45:F47)</f>
        <v>-15178094.440000001</v>
      </c>
      <c r="G44" s="1"/>
    </row>
    <row r="45" spans="2:7" x14ac:dyDescent="0.25">
      <c r="B45" s="1"/>
      <c r="C45" s="26" t="s">
        <v>43</v>
      </c>
      <c r="D45" s="29">
        <v>-28105.23</v>
      </c>
      <c r="E45" s="23">
        <v>-27013.98</v>
      </c>
      <c r="F45" s="41">
        <v>-44066.18</v>
      </c>
      <c r="G45" s="1"/>
    </row>
    <row r="46" spans="2:7" x14ac:dyDescent="0.25">
      <c r="B46" s="1"/>
      <c r="C46" s="26" t="s">
        <v>44</v>
      </c>
      <c r="D46" s="29">
        <v>-1121000</v>
      </c>
      <c r="E46" s="23">
        <v>-512012.24</v>
      </c>
      <c r="F46" s="41">
        <v>-655452.78</v>
      </c>
      <c r="G46" s="1"/>
    </row>
    <row r="47" spans="2:7" x14ac:dyDescent="0.25">
      <c r="B47" s="1"/>
      <c r="C47" s="26" t="s">
        <v>45</v>
      </c>
      <c r="D47" s="29">
        <v>-13000000</v>
      </c>
      <c r="E47" s="23">
        <v>-13000000</v>
      </c>
      <c r="F47" s="41">
        <v>-14478575.48</v>
      </c>
      <c r="G47" s="1"/>
    </row>
    <row r="48" spans="2:7" ht="16.5" x14ac:dyDescent="0.25">
      <c r="B48" s="1"/>
      <c r="C48" s="28" t="s">
        <v>46</v>
      </c>
      <c r="D48" s="29">
        <v>6360000</v>
      </c>
      <c r="E48" s="23">
        <v>17666201.059999999</v>
      </c>
      <c r="F48" s="41">
        <v>7860000</v>
      </c>
      <c r="G48" s="1"/>
    </row>
    <row r="49" spans="2:7" ht="16.5" x14ac:dyDescent="0.25">
      <c r="B49" s="1"/>
      <c r="C49" s="28" t="s">
        <v>47</v>
      </c>
      <c r="D49" s="29">
        <v>1000000</v>
      </c>
      <c r="E49" s="23">
        <v>530046.83000000007</v>
      </c>
      <c r="F49" s="41"/>
      <c r="G49" s="1"/>
    </row>
    <row r="50" spans="2:7" ht="16.5" x14ac:dyDescent="0.25">
      <c r="B50" s="1"/>
      <c r="C50" s="28" t="s">
        <v>48</v>
      </c>
      <c r="D50" s="61">
        <f>SUM(D51:D52)</f>
        <v>-300000</v>
      </c>
      <c r="E50" s="18">
        <f>SUM(E51:E52)</f>
        <v>-1049019.47</v>
      </c>
      <c r="F50" s="74">
        <f>SUM(F51:F52)</f>
        <v>-200000</v>
      </c>
      <c r="G50" s="1"/>
    </row>
    <row r="51" spans="2:7" x14ac:dyDescent="0.25">
      <c r="B51" s="1"/>
      <c r="C51" s="26" t="s">
        <v>49</v>
      </c>
      <c r="D51" s="29"/>
      <c r="E51" s="18"/>
      <c r="F51" s="41"/>
      <c r="G51" s="1"/>
    </row>
    <row r="52" spans="2:7" x14ac:dyDescent="0.25">
      <c r="B52" s="1"/>
      <c r="C52" s="26" t="s">
        <v>50</v>
      </c>
      <c r="D52" s="29">
        <v>-300000</v>
      </c>
      <c r="E52" s="23">
        <v>-1049019.47</v>
      </c>
      <c r="F52" s="41">
        <v>-200000</v>
      </c>
      <c r="G52" s="30"/>
    </row>
    <row r="53" spans="2:7" ht="16.5" x14ac:dyDescent="0.25">
      <c r="B53" s="1"/>
      <c r="C53" s="28" t="s">
        <v>51</v>
      </c>
      <c r="D53" s="62">
        <f>SUM(D54:D55)</f>
        <v>0</v>
      </c>
      <c r="E53" s="33">
        <f>SUM(E54:E55)</f>
        <v>0</v>
      </c>
      <c r="F53" s="76">
        <f>SUM(F54:F55)</f>
        <v>0</v>
      </c>
      <c r="G53" s="1"/>
    </row>
    <row r="54" spans="2:7" x14ac:dyDescent="0.25">
      <c r="B54" s="1"/>
      <c r="C54" s="26" t="s">
        <v>52</v>
      </c>
      <c r="D54" s="29"/>
      <c r="E54" s="23"/>
      <c r="F54" s="41"/>
      <c r="G54" s="1"/>
    </row>
    <row r="55" spans="2:7" x14ac:dyDescent="0.25">
      <c r="B55" s="1"/>
      <c r="C55" s="26" t="s">
        <v>53</v>
      </c>
      <c r="D55" s="29"/>
      <c r="E55" s="23"/>
      <c r="F55" s="41"/>
      <c r="G55" s="1"/>
    </row>
    <row r="56" spans="2:7" ht="16.5" x14ac:dyDescent="0.25">
      <c r="B56" s="1"/>
      <c r="C56" s="34" t="s">
        <v>54</v>
      </c>
      <c r="D56" s="63">
        <f>D13+D24+D25+D26+D31+D35+D39+D44+D48+D49+D50+D53</f>
        <v>12567575.520000003</v>
      </c>
      <c r="E56" s="36">
        <f>E13+E24+E25+E26+E31+E35+E39+E44+E48+E49+E50+E53</f>
        <v>17654790.419999994</v>
      </c>
      <c r="F56" s="77">
        <f>F13+F24+F25+F26+F31+F35+F39+F44+F48+F49+F50+F53</f>
        <v>6903628.6000000052</v>
      </c>
      <c r="G56" s="1"/>
    </row>
    <row r="57" spans="2:7" ht="16.5" x14ac:dyDescent="0.25">
      <c r="B57" s="1"/>
      <c r="C57" s="37" t="s">
        <v>55</v>
      </c>
      <c r="D57" s="64">
        <f>D58+D61+D64</f>
        <v>100000</v>
      </c>
      <c r="E57" s="40">
        <f>E58+E61+E64</f>
        <v>100000</v>
      </c>
      <c r="F57" s="78">
        <f>F58+F61+F64</f>
        <v>80000</v>
      </c>
      <c r="G57" s="1"/>
    </row>
    <row r="58" spans="2:7" x14ac:dyDescent="0.25">
      <c r="B58" s="1"/>
      <c r="C58" s="26" t="s">
        <v>56</v>
      </c>
      <c r="D58" s="61">
        <f>SUM(D59:D60)</f>
        <v>0</v>
      </c>
      <c r="E58" s="18">
        <f>SUM(E59:E60)</f>
        <v>0</v>
      </c>
      <c r="F58" s="74">
        <f>SUM(F59:F60)</f>
        <v>0</v>
      </c>
      <c r="G58" s="1"/>
    </row>
    <row r="59" spans="2:7" x14ac:dyDescent="0.25">
      <c r="B59" s="1"/>
      <c r="C59" s="26" t="s">
        <v>57</v>
      </c>
      <c r="D59" s="29"/>
      <c r="E59" s="23"/>
      <c r="F59" s="41"/>
      <c r="G59" s="1"/>
    </row>
    <row r="60" spans="2:7" x14ac:dyDescent="0.25">
      <c r="B60" s="1"/>
      <c r="C60" s="26" t="s">
        <v>58</v>
      </c>
      <c r="D60" s="29"/>
      <c r="E60" s="23"/>
      <c r="F60" s="41"/>
      <c r="G60" s="1"/>
    </row>
    <row r="61" spans="2:7" x14ac:dyDescent="0.25">
      <c r="B61" s="1"/>
      <c r="C61" s="26" t="s">
        <v>59</v>
      </c>
      <c r="D61" s="61">
        <f>SUM(D62:D63)</f>
        <v>100000</v>
      </c>
      <c r="E61" s="18">
        <f>SUM(E62:E63)</f>
        <v>100000</v>
      </c>
      <c r="F61" s="74">
        <f>SUM(F62:F63)</f>
        <v>80000</v>
      </c>
      <c r="G61" s="1"/>
    </row>
    <row r="62" spans="2:7" x14ac:dyDescent="0.25">
      <c r="B62" s="1"/>
      <c r="C62" s="26" t="s">
        <v>60</v>
      </c>
      <c r="D62" s="29"/>
      <c r="E62" s="23"/>
      <c r="F62" s="41"/>
      <c r="G62" s="1"/>
    </row>
    <row r="63" spans="2:7" x14ac:dyDescent="0.25">
      <c r="B63" s="1"/>
      <c r="C63" s="26" t="s">
        <v>61</v>
      </c>
      <c r="D63" s="29">
        <v>100000</v>
      </c>
      <c r="E63" s="23">
        <v>100000</v>
      </c>
      <c r="F63" s="41">
        <v>80000</v>
      </c>
      <c r="G63" s="1"/>
    </row>
    <row r="64" spans="2:7" x14ac:dyDescent="0.25">
      <c r="B64" s="1"/>
      <c r="C64" s="26" t="s">
        <v>62</v>
      </c>
      <c r="D64" s="65"/>
      <c r="E64" s="23"/>
      <c r="F64" s="41"/>
      <c r="G64" s="1"/>
    </row>
    <row r="65" spans="2:7" ht="16.5" x14ac:dyDescent="0.25">
      <c r="B65" s="1"/>
      <c r="C65" s="28" t="s">
        <v>63</v>
      </c>
      <c r="D65" s="64">
        <f>SUM(D66:D68)</f>
        <v>-150000</v>
      </c>
      <c r="E65" s="40">
        <f>SUM(E66:E68)</f>
        <v>-200000</v>
      </c>
      <c r="F65" s="78">
        <f>SUM(F66:F68)</f>
        <v>-125000</v>
      </c>
      <c r="G65" s="1"/>
    </row>
    <row r="66" spans="2:7" x14ac:dyDescent="0.25">
      <c r="B66" s="1"/>
      <c r="C66" s="26" t="s">
        <v>64</v>
      </c>
      <c r="D66" s="29"/>
      <c r="E66" s="23"/>
      <c r="F66" s="41"/>
      <c r="G66" s="1"/>
    </row>
    <row r="67" spans="2:7" x14ac:dyDescent="0.25">
      <c r="B67" s="1"/>
      <c r="C67" s="26" t="s">
        <v>65</v>
      </c>
      <c r="D67" s="29">
        <v>-150000</v>
      </c>
      <c r="E67" s="23">
        <v>-200000</v>
      </c>
      <c r="F67" s="41">
        <v>-125000</v>
      </c>
      <c r="G67" s="1"/>
    </row>
    <row r="68" spans="2:7" x14ac:dyDescent="0.25">
      <c r="B68" s="1"/>
      <c r="C68" s="26" t="s">
        <v>66</v>
      </c>
      <c r="D68" s="29"/>
      <c r="E68" s="23"/>
      <c r="F68" s="41"/>
      <c r="G68" s="1"/>
    </row>
    <row r="69" spans="2:7" ht="16.5" x14ac:dyDescent="0.25">
      <c r="B69" s="1"/>
      <c r="C69" s="28" t="s">
        <v>67</v>
      </c>
      <c r="D69" s="64">
        <f>SUM(D70:D71)</f>
        <v>0</v>
      </c>
      <c r="E69" s="40">
        <f>SUM(E70:E71)</f>
        <v>0</v>
      </c>
      <c r="F69" s="78">
        <f>SUM(F70:F71)</f>
        <v>0</v>
      </c>
      <c r="G69" s="1"/>
    </row>
    <row r="70" spans="2:7" x14ac:dyDescent="0.25">
      <c r="B70" s="1"/>
      <c r="C70" s="26" t="s">
        <v>68</v>
      </c>
      <c r="D70" s="29"/>
      <c r="E70" s="23"/>
      <c r="F70" s="41"/>
      <c r="G70" s="1"/>
    </row>
    <row r="71" spans="2:7" x14ac:dyDescent="0.25">
      <c r="B71" s="1"/>
      <c r="C71" s="26" t="s">
        <v>69</v>
      </c>
      <c r="D71" s="29"/>
      <c r="E71" s="23"/>
      <c r="F71" s="41"/>
      <c r="G71" s="1"/>
    </row>
    <row r="72" spans="2:7" ht="16.5" x14ac:dyDescent="0.25">
      <c r="B72" s="1"/>
      <c r="C72" s="28" t="s">
        <v>70</v>
      </c>
      <c r="D72" s="29"/>
      <c r="E72" s="23"/>
      <c r="F72" s="41"/>
      <c r="G72" s="1"/>
    </row>
    <row r="73" spans="2:7" ht="16.5" x14ac:dyDescent="0.25">
      <c r="B73" s="1"/>
      <c r="C73" s="28" t="s">
        <v>71</v>
      </c>
      <c r="D73" s="61">
        <f>SUM(D74:D75)</f>
        <v>0</v>
      </c>
      <c r="E73" s="18">
        <f>SUM(E74:E75)</f>
        <v>0</v>
      </c>
      <c r="F73" s="74">
        <f>SUM(F74:F75)</f>
        <v>0</v>
      </c>
      <c r="G73" s="1"/>
    </row>
    <row r="74" spans="2:7" x14ac:dyDescent="0.25">
      <c r="B74" s="1"/>
      <c r="C74" s="26" t="s">
        <v>49</v>
      </c>
      <c r="D74" s="29"/>
      <c r="E74" s="23"/>
      <c r="F74" s="41"/>
      <c r="G74" s="1"/>
    </row>
    <row r="75" spans="2:7" x14ac:dyDescent="0.25">
      <c r="B75" s="1"/>
      <c r="C75" s="26" t="s">
        <v>72</v>
      </c>
      <c r="D75" s="66"/>
      <c r="E75" s="42"/>
      <c r="F75" s="79"/>
      <c r="G75" s="1"/>
    </row>
    <row r="76" spans="2:7" ht="16.5" x14ac:dyDescent="0.25">
      <c r="B76" s="1"/>
      <c r="C76" s="43" t="s">
        <v>73</v>
      </c>
      <c r="D76" s="63">
        <f>D57+D65+D69+D72+D73</f>
        <v>-50000</v>
      </c>
      <c r="E76" s="36">
        <f>E57+E65+E69+E72+E73</f>
        <v>-100000</v>
      </c>
      <c r="F76" s="77">
        <f>F57+F65+F69+F72+F73</f>
        <v>-45000</v>
      </c>
      <c r="G76" s="1"/>
    </row>
    <row r="77" spans="2:7" ht="16.5" x14ac:dyDescent="0.25">
      <c r="B77" s="1"/>
      <c r="C77" s="43" t="s">
        <v>74</v>
      </c>
      <c r="D77" s="63">
        <f>D56+D76</f>
        <v>12517575.520000003</v>
      </c>
      <c r="E77" s="36">
        <f>E56+E76</f>
        <v>17554790.419999994</v>
      </c>
      <c r="F77" s="77">
        <f>F56+F76</f>
        <v>6858628.6000000052</v>
      </c>
      <c r="G77" s="1"/>
    </row>
    <row r="78" spans="2:7" ht="16.5" x14ac:dyDescent="0.25">
      <c r="B78" s="1"/>
      <c r="C78" s="28" t="s">
        <v>75</v>
      </c>
      <c r="D78" s="66">
        <v>-165341.26999999999</v>
      </c>
      <c r="E78" s="82">
        <v>-310268.77</v>
      </c>
      <c r="F78" s="79">
        <v>-207220.8</v>
      </c>
      <c r="G78" s="1"/>
    </row>
    <row r="79" spans="2:7" ht="16.5" x14ac:dyDescent="0.25">
      <c r="B79" s="1"/>
      <c r="C79" s="43" t="s">
        <v>76</v>
      </c>
      <c r="D79" s="63">
        <f>D77+D78</f>
        <v>12352234.250000004</v>
      </c>
      <c r="E79" s="36">
        <f>E77+E78</f>
        <v>17244521.649999995</v>
      </c>
      <c r="F79" s="77">
        <f>F77+F78</f>
        <v>6651407.8000000054</v>
      </c>
      <c r="G79" s="1"/>
    </row>
    <row r="80" spans="2:7" ht="16.5" x14ac:dyDescent="0.25">
      <c r="B80" s="1"/>
      <c r="C80" s="44"/>
      <c r="D80" s="64"/>
      <c r="E80" s="40"/>
      <c r="F80" s="78"/>
      <c r="G80" s="1"/>
    </row>
    <row r="81" spans="2:7" ht="15.75" x14ac:dyDescent="0.25">
      <c r="B81" s="1"/>
      <c r="C81" s="45" t="s">
        <v>77</v>
      </c>
      <c r="D81" s="61"/>
      <c r="E81" s="18"/>
      <c r="F81" s="74"/>
      <c r="G81" s="1"/>
    </row>
    <row r="82" spans="2:7" ht="16.5" x14ac:dyDescent="0.25">
      <c r="B82" s="1"/>
      <c r="C82" s="28" t="s">
        <v>78</v>
      </c>
      <c r="D82" s="29"/>
      <c r="E82" s="23"/>
      <c r="F82" s="41"/>
      <c r="G82" s="1"/>
    </row>
    <row r="83" spans="2:7" ht="17.25" thickBot="1" x14ac:dyDescent="0.3">
      <c r="B83" s="1"/>
      <c r="C83" s="28"/>
      <c r="D83" s="67"/>
      <c r="E83" s="46"/>
      <c r="F83" s="80"/>
      <c r="G83" s="1"/>
    </row>
    <row r="84" spans="2:7" ht="19.5" thickTop="1" thickBot="1" x14ac:dyDescent="0.3">
      <c r="B84" s="1"/>
      <c r="C84" s="47" t="s">
        <v>79</v>
      </c>
      <c r="D84" s="68">
        <f>D79+D82</f>
        <v>12352234.250000004</v>
      </c>
      <c r="E84" s="48">
        <f>E79+E82</f>
        <v>17244521.649999995</v>
      </c>
      <c r="F84" s="81">
        <f>F79+F82</f>
        <v>6651407.8000000054</v>
      </c>
      <c r="G84" s="1"/>
    </row>
    <row r="85" spans="2:7" ht="17.25" x14ac:dyDescent="0.25">
      <c r="B85" s="1"/>
      <c r="C85" s="49"/>
      <c r="D85" s="1"/>
      <c r="E85" s="50"/>
      <c r="F85" s="1"/>
      <c r="G85" s="1"/>
    </row>
    <row r="86" spans="2:7" x14ac:dyDescent="0.25">
      <c r="B86" s="1"/>
      <c r="C86" s="51" t="s">
        <v>80</v>
      </c>
      <c r="D86" s="52"/>
      <c r="E86" s="52"/>
      <c r="F86" s="52"/>
      <c r="G86" s="1"/>
    </row>
    <row r="87" spans="2:7" x14ac:dyDescent="0.25">
      <c r="B87" s="1"/>
      <c r="C87" s="52"/>
      <c r="D87" s="1"/>
      <c r="E87" s="30"/>
      <c r="F87" s="1"/>
      <c r="G87" s="1"/>
    </row>
    <row r="88" spans="2:7" x14ac:dyDescent="0.25">
      <c r="B88" s="1"/>
      <c r="C88" s="1"/>
      <c r="D88" s="1"/>
      <c r="E88" s="1"/>
      <c r="F88" s="1"/>
      <c r="G88" s="1"/>
    </row>
    <row r="89" spans="2:7" x14ac:dyDescent="0.25">
      <c r="B89" s="252" t="s">
        <v>81</v>
      </c>
      <c r="C89" s="253"/>
      <c r="D89" s="53">
        <f>SUM(D90:D92)</f>
        <v>-7500</v>
      </c>
      <c r="E89" s="53">
        <f>SUM(E90:E92)</f>
        <v>-10747.21</v>
      </c>
      <c r="F89" s="53">
        <f>SUM(F90:F92)</f>
        <v>-2500</v>
      </c>
      <c r="G89" s="1"/>
    </row>
    <row r="90" spans="2:7" x14ac:dyDescent="0.25">
      <c r="B90" s="254" t="s">
        <v>82</v>
      </c>
      <c r="C90" s="255"/>
      <c r="D90" s="54"/>
      <c r="E90" s="54"/>
      <c r="F90" s="54"/>
      <c r="G90" s="1"/>
    </row>
    <row r="91" spans="2:7" x14ac:dyDescent="0.25">
      <c r="B91" s="55" t="s">
        <v>83</v>
      </c>
      <c r="C91" s="56"/>
      <c r="D91" s="57">
        <v>3000</v>
      </c>
      <c r="E91" s="57">
        <v>5000</v>
      </c>
      <c r="F91" s="57">
        <v>3500</v>
      </c>
      <c r="G91" s="1"/>
    </row>
    <row r="92" spans="2:7" x14ac:dyDescent="0.25">
      <c r="B92" s="254" t="s">
        <v>84</v>
      </c>
      <c r="C92" s="255"/>
      <c r="D92" s="58">
        <v>-10500</v>
      </c>
      <c r="E92" s="58">
        <v>-15747.21</v>
      </c>
      <c r="F92" s="58">
        <v>-6000</v>
      </c>
      <c r="G92" s="1"/>
    </row>
  </sheetData>
  <mergeCells count="4">
    <mergeCell ref="C3:F3"/>
    <mergeCell ref="B89:C89"/>
    <mergeCell ref="B90:C90"/>
    <mergeCell ref="B92:C92"/>
  </mergeCells>
  <conditionalFormatting sqref="E62:F62 E59:F60 E54:F54 E25:F25 E15:F15 E18:F18 F17 E64:F64">
    <cfRule type="cellIs" dxfId="59" priority="22" stopIfTrue="1" operator="lessThan">
      <formula>0</formula>
    </cfRule>
  </conditionalFormatting>
  <conditionalFormatting sqref="E66:F66 E55:F55 F43 F29 E68:F68">
    <cfRule type="cellIs" dxfId="58" priority="23" stopIfTrue="1" operator="greaterThan">
      <formula>0</formula>
    </cfRule>
  </conditionalFormatting>
  <conditionalFormatting sqref="D62 D59:D60 D54 D48:D49 D32:D34 D25 D15:D18 D64">
    <cfRule type="cellIs" dxfId="57" priority="20" stopIfTrue="1" operator="lessThan">
      <formula>0</formula>
    </cfRule>
  </conditionalFormatting>
  <conditionalFormatting sqref="D66:D68 D55 D45:D47 D43 D40 D36:D37 D29">
    <cfRule type="cellIs" dxfId="56" priority="21" stopIfTrue="1" operator="greaterThan">
      <formula>0</formula>
    </cfRule>
  </conditionalFormatting>
  <conditionalFormatting sqref="E43 E29">
    <cfRule type="cellIs" dxfId="55" priority="19" stopIfTrue="1" operator="greaterThan">
      <formula>0</formula>
    </cfRule>
  </conditionalFormatting>
  <conditionalFormatting sqref="F16">
    <cfRule type="cellIs" dxfId="54" priority="18" stopIfTrue="1" operator="lessThan">
      <formula>0</formula>
    </cfRule>
  </conditionalFormatting>
  <conditionalFormatting sqref="E23:F23 F21:F22">
    <cfRule type="cellIs" dxfId="53" priority="17" stopIfTrue="1" operator="lessThan">
      <formula>0</formula>
    </cfRule>
  </conditionalFormatting>
  <conditionalFormatting sqref="F32 F34">
    <cfRule type="cellIs" dxfId="52" priority="16" stopIfTrue="1" operator="lessThan">
      <formula>0</formula>
    </cfRule>
  </conditionalFormatting>
  <conditionalFormatting sqref="F33">
    <cfRule type="cellIs" dxfId="51" priority="15" stopIfTrue="1" operator="lessThan">
      <formula>0</formula>
    </cfRule>
  </conditionalFormatting>
  <conditionalFormatting sqref="E36:E37">
    <cfRule type="cellIs" dxfId="50" priority="14" stopIfTrue="1" operator="greaterThan">
      <formula>0</formula>
    </cfRule>
  </conditionalFormatting>
  <conditionalFormatting sqref="F36">
    <cfRule type="cellIs" dxfId="49" priority="13" stopIfTrue="1" operator="greaterThan">
      <formula>0</formula>
    </cfRule>
  </conditionalFormatting>
  <conditionalFormatting sqref="F37">
    <cfRule type="cellIs" dxfId="48" priority="12" stopIfTrue="1" operator="greaterThan">
      <formula>0</formula>
    </cfRule>
  </conditionalFormatting>
  <conditionalFormatting sqref="F40">
    <cfRule type="cellIs" dxfId="47" priority="11" stopIfTrue="1" operator="greaterThan">
      <formula>0</formula>
    </cfRule>
  </conditionalFormatting>
  <conditionalFormatting sqref="E40">
    <cfRule type="cellIs" dxfId="46" priority="10" stopIfTrue="1" operator="greaterThan">
      <formula>0</formula>
    </cfRule>
  </conditionalFormatting>
  <conditionalFormatting sqref="F45:F47">
    <cfRule type="cellIs" dxfId="45" priority="9" stopIfTrue="1" operator="greaterThan">
      <formula>0</formula>
    </cfRule>
  </conditionalFormatting>
  <conditionalFormatting sqref="E45:E47">
    <cfRule type="cellIs" dxfId="44" priority="8" stopIfTrue="1" operator="greaterThan">
      <formula>0</formula>
    </cfRule>
  </conditionalFormatting>
  <conditionalFormatting sqref="F48:F49">
    <cfRule type="cellIs" dxfId="43" priority="7" stopIfTrue="1" operator="lessThan">
      <formula>0</formula>
    </cfRule>
  </conditionalFormatting>
  <conditionalFormatting sqref="E48:E49">
    <cfRule type="cellIs" dxfId="42" priority="6" stopIfTrue="1" operator="lessThan">
      <formula>0</formula>
    </cfRule>
  </conditionalFormatting>
  <conditionalFormatting sqref="F63">
    <cfRule type="cellIs" dxfId="41" priority="5" stopIfTrue="1" operator="lessThan">
      <formula>0</formula>
    </cfRule>
  </conditionalFormatting>
  <conditionalFormatting sqref="E63">
    <cfRule type="cellIs" dxfId="40" priority="4" stopIfTrue="1" operator="lessThan">
      <formula>0</formula>
    </cfRule>
  </conditionalFormatting>
  <conditionalFormatting sqref="F67">
    <cfRule type="cellIs" dxfId="39" priority="3" stopIfTrue="1" operator="greaterThan">
      <formula>0</formula>
    </cfRule>
  </conditionalFormatting>
  <conditionalFormatting sqref="E67">
    <cfRule type="cellIs" dxfId="38" priority="2" stopIfTrue="1" operator="greaterThan">
      <formula>0</formula>
    </cfRule>
  </conditionalFormatting>
  <conditionalFormatting sqref="D63">
    <cfRule type="cellIs" dxfId="37" priority="1" stopIfTrue="1" operator="lessThan">
      <formula>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opLeftCell="B1" workbookViewId="0">
      <selection activeCell="L27" sqref="L27"/>
    </sheetView>
  </sheetViews>
  <sheetFormatPr baseColWidth="10" defaultRowHeight="15" x14ac:dyDescent="0.25"/>
  <cols>
    <col min="1" max="1" width="46.85546875" customWidth="1"/>
    <col min="2" max="2" width="18.7109375" customWidth="1"/>
    <col min="3" max="3" width="19.85546875" customWidth="1"/>
    <col min="4" max="4" width="18.42578125" customWidth="1"/>
    <col min="5" max="5" width="24" customWidth="1"/>
    <col min="6" max="6" width="49.85546875" customWidth="1"/>
    <col min="7" max="8" width="17.28515625" bestFit="1" customWidth="1"/>
    <col min="9" max="9" width="23.140625" customWidth="1"/>
    <col min="10" max="10" width="23.28515625" customWidth="1"/>
  </cols>
  <sheetData>
    <row r="1" spans="1:9" ht="15.75" thickBot="1" x14ac:dyDescent="0.3"/>
    <row r="2" spans="1:9" ht="19.5" thickTop="1" thickBot="1" x14ac:dyDescent="0.3">
      <c r="A2" s="2"/>
      <c r="B2" s="83"/>
      <c r="C2" s="83"/>
      <c r="D2" s="84" t="s">
        <v>85</v>
      </c>
      <c r="E2" s="1"/>
      <c r="F2" s="1"/>
      <c r="G2" s="1"/>
      <c r="H2" s="1"/>
      <c r="I2" s="3" t="s">
        <v>86</v>
      </c>
    </row>
    <row r="3" spans="1:9" ht="16.5" thickTop="1" x14ac:dyDescent="0.25">
      <c r="A3" s="2"/>
      <c r="B3" s="83"/>
      <c r="C3" s="1"/>
      <c r="D3" s="1"/>
      <c r="E3" s="1"/>
      <c r="F3" s="1"/>
      <c r="G3" s="1"/>
      <c r="H3" s="1"/>
      <c r="I3" s="1"/>
    </row>
    <row r="4" spans="1:9" ht="15.75" x14ac:dyDescent="0.25">
      <c r="A4" s="2"/>
      <c r="B4" s="83"/>
      <c r="C4" s="1"/>
      <c r="D4" s="83"/>
      <c r="E4" s="1"/>
      <c r="F4" s="1"/>
      <c r="G4" s="1"/>
      <c r="H4" s="1"/>
      <c r="I4" s="1"/>
    </row>
    <row r="5" spans="1:9" ht="15.75" x14ac:dyDescent="0.25">
      <c r="A5" s="2"/>
      <c r="B5" s="1"/>
      <c r="C5" s="1"/>
      <c r="D5" s="83"/>
      <c r="E5" s="83"/>
      <c r="F5" s="1"/>
      <c r="G5" s="1"/>
      <c r="H5" s="1"/>
      <c r="I5" s="1"/>
    </row>
    <row r="6" spans="1:9" ht="16.5" thickBot="1" x14ac:dyDescent="0.3">
      <c r="A6" s="85"/>
      <c r="B6" s="86"/>
      <c r="C6" s="86"/>
      <c r="D6" s="86"/>
      <c r="E6" s="87"/>
      <c r="F6" s="85"/>
      <c r="G6" s="85"/>
      <c r="H6" s="85"/>
      <c r="I6" s="86"/>
    </row>
    <row r="7" spans="1:9" ht="15.75" x14ac:dyDescent="0.25">
      <c r="A7" s="256" t="s">
        <v>87</v>
      </c>
      <c r="B7" s="7" t="s">
        <v>7</v>
      </c>
      <c r="C7" s="7" t="s">
        <v>8</v>
      </c>
      <c r="D7" s="88" t="s">
        <v>7</v>
      </c>
      <c r="E7" s="258" t="s">
        <v>88</v>
      </c>
      <c r="F7" s="7" t="s">
        <v>6</v>
      </c>
      <c r="G7" s="7" t="s">
        <v>7</v>
      </c>
      <c r="H7" s="7" t="s">
        <v>8</v>
      </c>
      <c r="I7" s="88" t="s">
        <v>7</v>
      </c>
    </row>
    <row r="8" spans="1:9" ht="16.5" thickBot="1" x14ac:dyDescent="0.3">
      <c r="A8" s="257"/>
      <c r="B8" s="89">
        <v>44196</v>
      </c>
      <c r="C8" s="89">
        <v>44196</v>
      </c>
      <c r="D8" s="89">
        <v>44561</v>
      </c>
      <c r="E8" s="257"/>
      <c r="F8" s="89" t="e">
        <f>#REF!</f>
        <v>#REF!</v>
      </c>
      <c r="G8" s="89">
        <f>B8</f>
        <v>44196</v>
      </c>
      <c r="H8" s="89">
        <f>C8</f>
        <v>44196</v>
      </c>
      <c r="I8" s="90">
        <f>D8</f>
        <v>44561</v>
      </c>
    </row>
    <row r="9" spans="1:9" ht="15.75" thickTop="1" x14ac:dyDescent="0.25">
      <c r="A9" s="91"/>
      <c r="B9" s="92"/>
      <c r="C9" s="92"/>
      <c r="D9" s="93"/>
      <c r="E9" s="1"/>
      <c r="F9" s="92"/>
      <c r="G9" s="92"/>
      <c r="H9" s="92"/>
      <c r="I9" s="93"/>
    </row>
    <row r="10" spans="1:9" ht="15.75" x14ac:dyDescent="0.25">
      <c r="A10" s="14" t="s">
        <v>89</v>
      </c>
      <c r="B10" s="94">
        <f>B11+B17+B21+B24+B31</f>
        <v>740637762.03000009</v>
      </c>
      <c r="C10" s="94" t="e">
        <f>C11+C17+C21+C24+C31</f>
        <v>#REF!</v>
      </c>
      <c r="D10" s="94">
        <f>D11+D17+D21+D24+D31</f>
        <v>822644315.67999995</v>
      </c>
      <c r="E10" s="95" t="s">
        <v>90</v>
      </c>
      <c r="F10" s="96">
        <f>F11+F26+F31</f>
        <v>788677117.04999995</v>
      </c>
      <c r="G10" s="94">
        <f>G11+G26+G31</f>
        <v>858075161.17000008</v>
      </c>
      <c r="H10" s="96">
        <f>H11+H26+H31</f>
        <v>912362946.95000005</v>
      </c>
      <c r="I10" s="94">
        <f>I11+I26+I31</f>
        <v>994073925.75000012</v>
      </c>
    </row>
    <row r="11" spans="1:9" ht="16.5" x14ac:dyDescent="0.25">
      <c r="A11" s="97" t="s">
        <v>91</v>
      </c>
      <c r="B11" s="20">
        <f>SUM(B12:B16)</f>
        <v>116264.72</v>
      </c>
      <c r="C11" s="18">
        <f>SUM(C12:C16)</f>
        <v>116264.72</v>
      </c>
      <c r="D11" s="18">
        <f>SUM(D12:D16)</f>
        <v>192198.54</v>
      </c>
      <c r="E11" s="99" t="s">
        <v>92</v>
      </c>
      <c r="F11" s="18">
        <f>F12+F15+F16+F19+F22+F23+F24</f>
        <v>214644593.66</v>
      </c>
      <c r="G11" s="20">
        <f>G12+G15+G16+G19+G22+G23+G24</f>
        <v>219022460.5</v>
      </c>
      <c r="H11" s="18">
        <f>H12+H15+H16+H19+H22+H23+H24</f>
        <v>231889115.31</v>
      </c>
      <c r="I11" s="20">
        <f>I12+I15+I16+I19+I22+I23+I24</f>
        <v>238571773.11000001</v>
      </c>
    </row>
    <row r="12" spans="1:9" ht="16.5" x14ac:dyDescent="0.25">
      <c r="A12" s="100" t="s">
        <v>93</v>
      </c>
      <c r="B12" s="22"/>
      <c r="C12" s="23"/>
      <c r="D12" s="22"/>
      <c r="E12" s="101" t="s">
        <v>94</v>
      </c>
      <c r="F12" s="98">
        <f>SUM(F13:F14)</f>
        <v>147030142.5</v>
      </c>
      <c r="G12" s="20">
        <f>SUM(G13:G14)</f>
        <v>147030142.5</v>
      </c>
      <c r="H12" s="18">
        <f>SUM(H13:H14)</f>
        <v>147030142.5</v>
      </c>
      <c r="I12" s="20">
        <f>SUM(I13:I14)</f>
        <v>147030142.5</v>
      </c>
    </row>
    <row r="13" spans="1:9" x14ac:dyDescent="0.25">
      <c r="A13" s="100" t="s">
        <v>95</v>
      </c>
      <c r="B13" s="22"/>
      <c r="C13" s="23"/>
      <c r="D13" s="22"/>
      <c r="E13" s="102" t="s">
        <v>96</v>
      </c>
      <c r="F13" s="105">
        <v>147030142.5</v>
      </c>
      <c r="G13" s="22">
        <v>147030142.5</v>
      </c>
      <c r="H13" s="23">
        <v>147030142.5</v>
      </c>
      <c r="I13" s="22">
        <v>147030142.5</v>
      </c>
    </row>
    <row r="14" spans="1:9" x14ac:dyDescent="0.25">
      <c r="A14" s="100" t="s">
        <v>97</v>
      </c>
      <c r="B14" s="22"/>
      <c r="C14" s="23"/>
      <c r="D14" s="22"/>
      <c r="E14" s="103" t="s">
        <v>98</v>
      </c>
      <c r="F14" s="98"/>
      <c r="G14" s="22"/>
      <c r="H14" s="23"/>
      <c r="I14" s="22"/>
    </row>
    <row r="15" spans="1:9" ht="16.5" x14ac:dyDescent="0.25">
      <c r="A15" s="100" t="s">
        <v>99</v>
      </c>
      <c r="B15" s="22">
        <v>116264.72</v>
      </c>
      <c r="C15" s="23">
        <v>116264.72</v>
      </c>
      <c r="D15" s="104">
        <v>192198.54</v>
      </c>
      <c r="E15" s="101" t="s">
        <v>100</v>
      </c>
      <c r="F15" s="98"/>
      <c r="G15" s="22"/>
      <c r="H15" s="23"/>
      <c r="I15" s="22"/>
    </row>
    <row r="16" spans="1:9" ht="16.5" x14ac:dyDescent="0.25">
      <c r="A16" s="100" t="s">
        <v>101</v>
      </c>
      <c r="B16" s="22"/>
      <c r="C16" s="23"/>
      <c r="D16" s="22"/>
      <c r="E16" s="101" t="s">
        <v>102</v>
      </c>
      <c r="F16" s="98">
        <f>SUM(F17:F18)</f>
        <v>21205447.899999999</v>
      </c>
      <c r="G16" s="20">
        <f>SUM(G17:G18)</f>
        <v>24654046.969999999</v>
      </c>
      <c r="H16" s="18">
        <f>SUM(H17:H18)</f>
        <v>24729409.600000001</v>
      </c>
      <c r="I16" s="20">
        <f>SUM(I17:I18)</f>
        <v>26456986.770000003</v>
      </c>
    </row>
    <row r="17" spans="1:9" ht="16.5" x14ac:dyDescent="0.25">
      <c r="A17" s="97" t="s">
        <v>103</v>
      </c>
      <c r="B17" s="20">
        <f>SUM(B18:B20)</f>
        <v>23442771.409999996</v>
      </c>
      <c r="C17" s="18">
        <f>SUM(C18:C20)</f>
        <v>24305959.549999997</v>
      </c>
      <c r="D17" s="20">
        <f>SUM(D18:D20)</f>
        <v>24060506.769999996</v>
      </c>
      <c r="E17" s="102" t="s">
        <v>104</v>
      </c>
      <c r="F17" s="105">
        <v>9837874.2599999998</v>
      </c>
      <c r="G17" s="22">
        <v>12484168.77</v>
      </c>
      <c r="H17" s="23">
        <v>13361835.960000001</v>
      </c>
      <c r="I17" s="22">
        <f>H17+1727577.17</f>
        <v>15089413.130000001</v>
      </c>
    </row>
    <row r="18" spans="1:9" x14ac:dyDescent="0.25">
      <c r="A18" s="100" t="s">
        <v>105</v>
      </c>
      <c r="B18" s="22">
        <v>20663657.819999997</v>
      </c>
      <c r="C18" s="23">
        <v>21014953.259999998</v>
      </c>
      <c r="D18" s="104">
        <v>20539500.479999997</v>
      </c>
      <c r="E18" s="106" t="s">
        <v>106</v>
      </c>
      <c r="F18" s="108">
        <v>11367573.640000001</v>
      </c>
      <c r="G18" s="22">
        <v>12169878.199999999</v>
      </c>
      <c r="H18" s="23">
        <v>11367573.640000001</v>
      </c>
      <c r="I18" s="22">
        <v>11367573.640000001</v>
      </c>
    </row>
    <row r="19" spans="1:9" ht="16.5" x14ac:dyDescent="0.25">
      <c r="A19" s="100" t="s">
        <v>107</v>
      </c>
      <c r="B19" s="22">
        <v>2779113.5900000008</v>
      </c>
      <c r="C19" s="23">
        <v>3291006.29</v>
      </c>
      <c r="D19" s="22">
        <v>3521006.29</v>
      </c>
      <c r="E19" s="101" t="s">
        <v>108</v>
      </c>
      <c r="F19" s="98">
        <f>SUM(F20:F21)</f>
        <v>-51030046.509999998</v>
      </c>
      <c r="G19" s="20">
        <f>SUM(G20:G21)</f>
        <v>-27213395.949999999</v>
      </c>
      <c r="H19" s="18">
        <f>SUM(H20:H21)</f>
        <v>-19314391.170000002</v>
      </c>
      <c r="I19" s="18">
        <f>SUM(I20:I21)</f>
        <v>-3766196.6900000013</v>
      </c>
    </row>
    <row r="20" spans="1:9" x14ac:dyDescent="0.25">
      <c r="A20" s="100" t="s">
        <v>109</v>
      </c>
      <c r="B20" s="22"/>
      <c r="C20" s="23"/>
      <c r="D20" s="22"/>
      <c r="E20" s="106" t="s">
        <v>110</v>
      </c>
      <c r="F20" s="108"/>
      <c r="G20" s="22"/>
      <c r="H20" s="23"/>
      <c r="I20" s="22"/>
    </row>
    <row r="21" spans="1:9" ht="16.5" x14ac:dyDescent="0.25">
      <c r="A21" s="97" t="s">
        <v>111</v>
      </c>
      <c r="B21" s="20">
        <f>SUM(B22:B23)</f>
        <v>709335176.12</v>
      </c>
      <c r="C21" s="18">
        <f>SUM(C22:C23)</f>
        <v>704269368.20000005</v>
      </c>
      <c r="D21" s="20">
        <f>SUM(D22:D23)</f>
        <v>786407615.82999992</v>
      </c>
      <c r="E21" s="103" t="s">
        <v>112</v>
      </c>
      <c r="F21" s="108">
        <v>-51030046.509999998</v>
      </c>
      <c r="G21" s="22">
        <v>-27213395.949999999</v>
      </c>
      <c r="H21" s="23">
        <v>-19314391.170000002</v>
      </c>
      <c r="I21" s="22">
        <v>-3766196.6900000013</v>
      </c>
    </row>
    <row r="22" spans="1:9" ht="16.5" x14ac:dyDescent="0.25">
      <c r="A22" s="100" t="s">
        <v>113</v>
      </c>
      <c r="B22" s="22">
        <v>217504766.69999996</v>
      </c>
      <c r="C22" s="23">
        <v>251033373.33999997</v>
      </c>
      <c r="D22" s="22">
        <v>266033373.33999997</v>
      </c>
      <c r="E22" s="107" t="s">
        <v>114</v>
      </c>
      <c r="F22" s="108">
        <v>62199432.729999997</v>
      </c>
      <c r="G22" s="22">
        <v>62199432.729999997</v>
      </c>
      <c r="H22" s="23">
        <v>62199432.729999997</v>
      </c>
      <c r="I22" s="22">
        <v>62199432.729999997</v>
      </c>
    </row>
    <row r="23" spans="1:9" ht="16.5" x14ac:dyDescent="0.25">
      <c r="A23" s="100" t="s">
        <v>115</v>
      </c>
      <c r="B23" s="22">
        <v>491830409.42000002</v>
      </c>
      <c r="C23" s="23">
        <v>453235994.86000001</v>
      </c>
      <c r="D23" s="22">
        <v>520374242.49000001</v>
      </c>
      <c r="E23" s="101" t="s">
        <v>116</v>
      </c>
      <c r="F23" s="98">
        <v>35239617.039999992</v>
      </c>
      <c r="G23" s="20">
        <v>12352234.250000004</v>
      </c>
      <c r="H23" s="18">
        <v>17244521.649999995</v>
      </c>
      <c r="I23" s="20">
        <v>6651407.8000000054</v>
      </c>
    </row>
    <row r="24" spans="1:9" ht="16.5" x14ac:dyDescent="0.25">
      <c r="A24" s="97" t="s">
        <v>117</v>
      </c>
      <c r="B24" s="20">
        <f>SUM(B25:B30)</f>
        <v>7417484.4399999995</v>
      </c>
      <c r="C24" s="18" t="e">
        <f>SUM(C25:C30)</f>
        <v>#REF!</v>
      </c>
      <c r="D24" s="18">
        <f>SUM(D25:D30)</f>
        <v>11821946.220000001</v>
      </c>
      <c r="E24" s="101" t="s">
        <v>118</v>
      </c>
      <c r="F24" s="98"/>
      <c r="G24" s="22"/>
      <c r="H24" s="23"/>
      <c r="I24" s="22"/>
    </row>
    <row r="25" spans="1:9" x14ac:dyDescent="0.25">
      <c r="A25" s="19" t="s">
        <v>119</v>
      </c>
      <c r="B25" s="22"/>
      <c r="C25" s="23"/>
      <c r="D25" s="22"/>
      <c r="E25" s="1"/>
      <c r="F25" s="98"/>
      <c r="G25" s="20"/>
      <c r="H25" s="18"/>
      <c r="I25" s="20"/>
    </row>
    <row r="26" spans="1:9" ht="15.75" x14ac:dyDescent="0.25">
      <c r="A26" s="19" t="s">
        <v>120</v>
      </c>
      <c r="B26" s="22">
        <v>5338684.29</v>
      </c>
      <c r="C26" s="23" t="e">
        <f>+#REF!+2610000-800000</f>
        <v>#REF!</v>
      </c>
      <c r="D26" s="22">
        <v>9243146.0700000003</v>
      </c>
      <c r="E26" s="99" t="s">
        <v>121</v>
      </c>
      <c r="F26" s="98">
        <f>SUM(F27:F29)</f>
        <v>0</v>
      </c>
      <c r="G26" s="20">
        <f>SUM(G27:G29)</f>
        <v>0</v>
      </c>
      <c r="H26" s="18">
        <f>SUM(H27:H29)</f>
        <v>0</v>
      </c>
      <c r="I26" s="20">
        <f>SUM(I27:I29)</f>
        <v>0</v>
      </c>
    </row>
    <row r="27" spans="1:9" ht="16.5" x14ac:dyDescent="0.25">
      <c r="A27" s="19" t="s">
        <v>122</v>
      </c>
      <c r="B27" s="22"/>
      <c r="C27" s="23"/>
      <c r="D27" s="22"/>
      <c r="E27" s="107" t="s">
        <v>123</v>
      </c>
      <c r="F27" s="98"/>
      <c r="G27" s="22"/>
      <c r="H27" s="23"/>
      <c r="I27" s="22"/>
    </row>
    <row r="28" spans="1:9" ht="16.5" x14ac:dyDescent="0.25">
      <c r="A28" s="19" t="s">
        <v>124</v>
      </c>
      <c r="B28" s="22"/>
      <c r="C28" s="23"/>
      <c r="D28" s="22"/>
      <c r="E28" s="107" t="s">
        <v>125</v>
      </c>
      <c r="F28" s="98"/>
      <c r="G28" s="22"/>
      <c r="H28" s="23"/>
      <c r="I28" s="22"/>
    </row>
    <row r="29" spans="1:9" ht="16.5" x14ac:dyDescent="0.25">
      <c r="A29" s="19" t="s">
        <v>126</v>
      </c>
      <c r="B29" s="23"/>
      <c r="C29" s="23"/>
      <c r="D29" s="23"/>
      <c r="E29" s="101" t="s">
        <v>127</v>
      </c>
      <c r="F29" s="98"/>
      <c r="G29" s="22"/>
      <c r="H29" s="23"/>
      <c r="I29" s="22"/>
    </row>
    <row r="30" spans="1:9" x14ac:dyDescent="0.25">
      <c r="A30" s="19" t="s">
        <v>128</v>
      </c>
      <c r="B30" s="22">
        <v>2078800.15</v>
      </c>
      <c r="C30" s="23">
        <v>2078800.15</v>
      </c>
      <c r="D30" s="22">
        <v>2578800.15</v>
      </c>
      <c r="E30" s="1"/>
      <c r="F30" s="98"/>
      <c r="G30" s="20"/>
      <c r="H30" s="18"/>
      <c r="I30" s="20"/>
    </row>
    <row r="31" spans="1:9" ht="16.5" x14ac:dyDescent="0.25">
      <c r="A31" s="109" t="s">
        <v>129</v>
      </c>
      <c r="B31" s="22">
        <v>326065.34000000003</v>
      </c>
      <c r="C31" s="23">
        <v>162048.32000000004</v>
      </c>
      <c r="D31" s="22">
        <f>+C31</f>
        <v>162048.32000000004</v>
      </c>
      <c r="E31" s="99" t="s">
        <v>130</v>
      </c>
      <c r="F31" s="98">
        <f>SUM(F32:F34)</f>
        <v>574032523.38999999</v>
      </c>
      <c r="G31" s="20">
        <f>SUM(G32:G34)</f>
        <v>639052700.67000008</v>
      </c>
      <c r="H31" s="18">
        <f>SUM(H32:H34)</f>
        <v>680473831.63999999</v>
      </c>
      <c r="I31" s="20">
        <f>SUM(I32:I34)</f>
        <v>755502152.6400001</v>
      </c>
    </row>
    <row r="32" spans="1:9" ht="16.5" x14ac:dyDescent="0.25">
      <c r="A32" s="110"/>
      <c r="B32" s="20"/>
      <c r="C32" s="18"/>
      <c r="D32" s="20"/>
      <c r="E32" s="107" t="s">
        <v>131</v>
      </c>
      <c r="F32" s="108">
        <v>429144738.92000002</v>
      </c>
      <c r="G32" s="22">
        <v>478338407.80000001</v>
      </c>
      <c r="H32" s="105">
        <v>495143198.16000003</v>
      </c>
      <c r="I32" s="108">
        <v>555221519.16000009</v>
      </c>
    </row>
    <row r="33" spans="1:9" ht="16.5" x14ac:dyDescent="0.25">
      <c r="A33" s="14" t="s">
        <v>132</v>
      </c>
      <c r="B33" s="94">
        <f>B34+B35+B42+B50+B57+B58</f>
        <v>169438635.95999998</v>
      </c>
      <c r="C33" s="96">
        <f>C34+C35+C42+C50+C57+C58</f>
        <v>201055172.46999997</v>
      </c>
      <c r="D33" s="94">
        <f>D34+D35+D42+D50+D57+D58</f>
        <v>191440375.85999998</v>
      </c>
      <c r="E33" s="107" t="s">
        <v>133</v>
      </c>
      <c r="F33" s="108">
        <v>1214914.1499999999</v>
      </c>
      <c r="G33" s="22">
        <v>7041422.5500000007</v>
      </c>
      <c r="H33" s="23">
        <v>8510549.6500000004</v>
      </c>
      <c r="I33" s="22">
        <v>8460549.6500000004</v>
      </c>
    </row>
    <row r="34" spans="1:9" ht="16.5" x14ac:dyDescent="0.25">
      <c r="A34" s="109" t="s">
        <v>134</v>
      </c>
      <c r="B34" s="22"/>
      <c r="C34" s="23"/>
      <c r="D34" s="22"/>
      <c r="E34" s="101" t="s">
        <v>135</v>
      </c>
      <c r="F34" s="108">
        <v>143672870.31999999</v>
      </c>
      <c r="G34" s="22">
        <v>153672870.31999999</v>
      </c>
      <c r="H34" s="23">
        <v>176820083.82999998</v>
      </c>
      <c r="I34" s="22">
        <v>191820083.82999998</v>
      </c>
    </row>
    <row r="35" spans="1:9" ht="16.5" x14ac:dyDescent="0.25">
      <c r="A35" s="44" t="s">
        <v>136</v>
      </c>
      <c r="B35" s="20">
        <f>SUM(B36:B41)</f>
        <v>40173589.490000002</v>
      </c>
      <c r="C35" s="20">
        <f>SUM(C36:C41)</f>
        <v>33976363.539999999</v>
      </c>
      <c r="D35" s="20">
        <f>SUM(D36:D41)</f>
        <v>33976363.539999999</v>
      </c>
      <c r="E35" s="86"/>
      <c r="F35" s="111"/>
      <c r="G35" s="112"/>
      <c r="H35" s="111"/>
      <c r="I35" s="112"/>
    </row>
    <row r="36" spans="1:9" ht="15.75" x14ac:dyDescent="0.25">
      <c r="A36" s="19" t="s">
        <v>137</v>
      </c>
      <c r="B36" s="22"/>
      <c r="C36" s="23"/>
      <c r="D36" s="22"/>
      <c r="E36" s="95" t="s">
        <v>138</v>
      </c>
      <c r="F36" s="96">
        <f>F37+F42+F47+F48+F49</f>
        <v>26398283.440000005</v>
      </c>
      <c r="G36" s="94">
        <f>G37+G42+G47+G48+G49</f>
        <v>11263148.080000002</v>
      </c>
      <c r="H36" s="96">
        <f>H37+H42+H47+H48+H49</f>
        <v>9370033.200000003</v>
      </c>
      <c r="I36" s="94">
        <f>I37+I42+I47+I48+I49</f>
        <v>9856468.8800000027</v>
      </c>
    </row>
    <row r="37" spans="1:9" ht="16.5" x14ac:dyDescent="0.25">
      <c r="A37" s="19" t="s">
        <v>139</v>
      </c>
      <c r="B37" s="22">
        <v>40173589.490000002</v>
      </c>
      <c r="C37" s="23">
        <f>38443477.65-3125944.92-1341169.19</f>
        <v>33976363.539999999</v>
      </c>
      <c r="D37" s="22">
        <f>+C37</f>
        <v>33976363.539999999</v>
      </c>
      <c r="E37" s="101" t="s">
        <v>140</v>
      </c>
      <c r="F37" s="18">
        <f>SUM(F38:F41)</f>
        <v>7113324.1200000001</v>
      </c>
      <c r="G37" s="20">
        <f>SUM(G38:G41)</f>
        <v>8621319.6700000018</v>
      </c>
      <c r="H37" s="18">
        <f>SUM(H38:H41)</f>
        <v>6583277.2900000028</v>
      </c>
      <c r="I37" s="20">
        <f>SUM(I38:I41)</f>
        <v>6662492.1700000027</v>
      </c>
    </row>
    <row r="38" spans="1:9" x14ac:dyDescent="0.25">
      <c r="A38" s="19" t="s">
        <v>141</v>
      </c>
      <c r="B38" s="22"/>
      <c r="C38" s="23"/>
      <c r="D38" s="22"/>
      <c r="E38" s="102" t="s">
        <v>142</v>
      </c>
      <c r="F38" s="18"/>
      <c r="G38" s="22"/>
      <c r="H38" s="23"/>
      <c r="I38" s="22"/>
    </row>
    <row r="39" spans="1:9" x14ac:dyDescent="0.25">
      <c r="A39" s="19" t="s">
        <v>143</v>
      </c>
      <c r="B39" s="22"/>
      <c r="C39" s="23"/>
      <c r="D39" s="22"/>
      <c r="E39" s="102" t="s">
        <v>144</v>
      </c>
      <c r="F39" s="18"/>
      <c r="G39" s="22"/>
      <c r="H39" s="23"/>
      <c r="I39" s="22"/>
    </row>
    <row r="40" spans="1:9" x14ac:dyDescent="0.25">
      <c r="A40" s="19" t="s">
        <v>145</v>
      </c>
      <c r="B40" s="22"/>
      <c r="C40" s="23"/>
      <c r="D40" s="22"/>
      <c r="E40" s="102" t="s">
        <v>146</v>
      </c>
      <c r="F40" s="98"/>
      <c r="G40" s="108"/>
      <c r="H40" s="105"/>
      <c r="I40" s="108"/>
    </row>
    <row r="41" spans="1:9" x14ac:dyDescent="0.25">
      <c r="A41" s="19" t="s">
        <v>147</v>
      </c>
      <c r="B41" s="22"/>
      <c r="C41" s="23"/>
      <c r="D41" s="22"/>
      <c r="E41" s="102" t="s">
        <v>148</v>
      </c>
      <c r="F41" s="105">
        <v>7113324.1200000001</v>
      </c>
      <c r="G41" s="108">
        <v>8621319.6700000018</v>
      </c>
      <c r="H41" s="105">
        <v>6583277.2900000028</v>
      </c>
      <c r="I41" s="108">
        <v>6662492.1700000027</v>
      </c>
    </row>
    <row r="42" spans="1:9" ht="16.5" x14ac:dyDescent="0.25">
      <c r="A42" s="44" t="s">
        <v>149</v>
      </c>
      <c r="B42" s="20">
        <f>SUM(B43:B49)</f>
        <v>68961331.189999998</v>
      </c>
      <c r="C42" s="18">
        <f>SUM(C43:C49)</f>
        <v>96116178.900000006</v>
      </c>
      <c r="D42" s="20">
        <f>SUM(D43:D49)</f>
        <v>64472839.399999999</v>
      </c>
      <c r="E42" s="113" t="s">
        <v>150</v>
      </c>
      <c r="F42" s="98">
        <f>SUM(F43:F46)</f>
        <v>17808472.180000003</v>
      </c>
      <c r="G42" s="98">
        <f>SUM(G43:G46)</f>
        <v>1000000</v>
      </c>
      <c r="H42" s="98">
        <f>SUM(H43:H46)</f>
        <v>1000000</v>
      </c>
      <c r="I42" s="98">
        <f>SUM(I43:I46)</f>
        <v>1200000</v>
      </c>
    </row>
    <row r="43" spans="1:9" x14ac:dyDescent="0.25">
      <c r="A43" s="26" t="s">
        <v>151</v>
      </c>
      <c r="B43" s="22">
        <v>6653831.1900000013</v>
      </c>
      <c r="C43" s="23">
        <v>5943678.9000000004</v>
      </c>
      <c r="D43" s="22">
        <f>+C43+1500000-600000</f>
        <v>6843678.9000000004</v>
      </c>
      <c r="E43" s="103" t="s">
        <v>152</v>
      </c>
      <c r="F43" s="105">
        <v>16939656.260000002</v>
      </c>
      <c r="G43" s="108"/>
      <c r="H43" s="105"/>
      <c r="I43" s="108">
        <v>0</v>
      </c>
    </row>
    <row r="44" spans="1:9" x14ac:dyDescent="0.25">
      <c r="A44" s="26" t="s">
        <v>153</v>
      </c>
      <c r="B44" s="22">
        <v>61877500</v>
      </c>
      <c r="C44" s="105">
        <f>77242500+12500000</f>
        <v>89742500</v>
      </c>
      <c r="D44" s="22">
        <v>57179160.5</v>
      </c>
      <c r="E44" s="103" t="s">
        <v>154</v>
      </c>
      <c r="F44" s="108"/>
      <c r="G44" s="108"/>
      <c r="H44" s="105"/>
      <c r="I44" s="108"/>
    </row>
    <row r="45" spans="1:9" x14ac:dyDescent="0.25">
      <c r="A45" s="26" t="s">
        <v>155</v>
      </c>
      <c r="B45" s="22">
        <v>300000</v>
      </c>
      <c r="C45" s="23">
        <v>300000</v>
      </c>
      <c r="D45" s="22">
        <v>325000</v>
      </c>
      <c r="E45" s="103" t="s">
        <v>156</v>
      </c>
      <c r="F45" s="108"/>
      <c r="G45" s="108"/>
      <c r="H45" s="105"/>
      <c r="I45" s="108"/>
    </row>
    <row r="46" spans="1:9" x14ac:dyDescent="0.25">
      <c r="A46" s="19" t="s">
        <v>157</v>
      </c>
      <c r="B46" s="22">
        <v>130000</v>
      </c>
      <c r="C46" s="23">
        <v>130000</v>
      </c>
      <c r="D46" s="22">
        <v>125000</v>
      </c>
      <c r="E46" s="103" t="s">
        <v>158</v>
      </c>
      <c r="F46" s="108">
        <v>868815.92</v>
      </c>
      <c r="G46" s="108">
        <v>1000000</v>
      </c>
      <c r="H46" s="105">
        <v>1000000</v>
      </c>
      <c r="I46" s="108">
        <v>1200000</v>
      </c>
    </row>
    <row r="47" spans="1:9" ht="16.5" x14ac:dyDescent="0.25">
      <c r="A47" s="19" t="s">
        <v>159</v>
      </c>
      <c r="B47" s="22"/>
      <c r="C47" s="23"/>
      <c r="D47" s="22"/>
      <c r="E47" s="101" t="s">
        <v>160</v>
      </c>
      <c r="F47" s="98"/>
      <c r="G47" s="108"/>
      <c r="H47" s="105"/>
      <c r="I47" s="108"/>
    </row>
    <row r="48" spans="1:9" ht="16.5" x14ac:dyDescent="0.25">
      <c r="A48" s="19" t="s">
        <v>161</v>
      </c>
      <c r="B48" s="22"/>
      <c r="C48" s="23"/>
      <c r="D48" s="22"/>
      <c r="E48" s="101" t="s">
        <v>162</v>
      </c>
      <c r="F48" s="105">
        <v>1476487.14</v>
      </c>
      <c r="G48" s="108">
        <v>1641828.41</v>
      </c>
      <c r="H48" s="105">
        <v>1786755.91</v>
      </c>
      <c r="I48" s="108">
        <v>1993976.71</v>
      </c>
    </row>
    <row r="49" spans="1:9" ht="16.5" x14ac:dyDescent="0.25">
      <c r="A49" s="26" t="s">
        <v>163</v>
      </c>
      <c r="B49" s="22"/>
      <c r="C49" s="23"/>
      <c r="D49" s="22"/>
      <c r="E49" s="101" t="s">
        <v>164</v>
      </c>
      <c r="F49" s="18"/>
      <c r="G49" s="22"/>
      <c r="H49" s="23"/>
      <c r="I49" s="22"/>
    </row>
    <row r="50" spans="1:9" ht="16.5" x14ac:dyDescent="0.25">
      <c r="A50" s="44" t="s">
        <v>165</v>
      </c>
      <c r="B50" s="20">
        <f>SUM(B51:B56)</f>
        <v>140035.82</v>
      </c>
      <c r="C50" s="18">
        <f>SUM(C51:C56)</f>
        <v>140035.82</v>
      </c>
      <c r="D50" s="20">
        <f>SUM(D51:D56)</f>
        <v>140035.82</v>
      </c>
      <c r="E50" s="114"/>
      <c r="F50" s="18"/>
      <c r="G50" s="20"/>
      <c r="H50" s="18"/>
      <c r="I50" s="20"/>
    </row>
    <row r="51" spans="1:9" ht="15.75" x14ac:dyDescent="0.25">
      <c r="A51" s="19" t="s">
        <v>119</v>
      </c>
      <c r="B51" s="22"/>
      <c r="C51" s="23"/>
      <c r="D51" s="22"/>
      <c r="E51" s="2" t="s">
        <v>166</v>
      </c>
      <c r="F51" s="96">
        <f>F52+F53+F54+F59+F60+F68</f>
        <v>34882318.100000001</v>
      </c>
      <c r="G51" s="94">
        <f>G52+G53+G54+G59+G60+G68</f>
        <v>40738088.740000002</v>
      </c>
      <c r="H51" s="96">
        <f>H52+H53+H54+H59+H60+H68</f>
        <v>18576112.66</v>
      </c>
      <c r="I51" s="94">
        <f>I52+I53+I54+I59+I60+I68</f>
        <v>10154296.91</v>
      </c>
    </row>
    <row r="52" spans="1:9" ht="16.5" x14ac:dyDescent="0.25">
      <c r="A52" s="19" t="s">
        <v>120</v>
      </c>
      <c r="B52" s="22"/>
      <c r="C52" s="23"/>
      <c r="D52" s="22"/>
      <c r="E52" s="101" t="s">
        <v>167</v>
      </c>
      <c r="F52" s="18"/>
      <c r="G52" s="22"/>
      <c r="H52" s="23"/>
      <c r="I52" s="22"/>
    </row>
    <row r="53" spans="1:9" ht="16.5" x14ac:dyDescent="0.25">
      <c r="A53" s="19" t="s">
        <v>122</v>
      </c>
      <c r="B53" s="22"/>
      <c r="C53" s="23"/>
      <c r="D53" s="22"/>
      <c r="E53" s="101" t="s">
        <v>168</v>
      </c>
      <c r="F53" s="18"/>
      <c r="G53" s="22"/>
      <c r="H53" s="23"/>
      <c r="I53" s="22"/>
    </row>
    <row r="54" spans="1:9" ht="16.5" x14ac:dyDescent="0.25">
      <c r="A54" s="19" t="s">
        <v>124</v>
      </c>
      <c r="B54" s="22"/>
      <c r="C54" s="23"/>
      <c r="D54" s="22"/>
      <c r="E54" s="101" t="s">
        <v>169</v>
      </c>
      <c r="F54" s="98">
        <f>SUM(F55:F58)</f>
        <v>3381284.45</v>
      </c>
      <c r="G54" s="120">
        <f>SUM(G55:G58)</f>
        <v>25000</v>
      </c>
      <c r="H54" s="120">
        <f>SUM(H55:H58)</f>
        <v>25000</v>
      </c>
      <c r="I54" s="120">
        <f>SUM(I55:I58)</f>
        <v>40000</v>
      </c>
    </row>
    <row r="55" spans="1:9" x14ac:dyDescent="0.25">
      <c r="A55" s="19" t="s">
        <v>126</v>
      </c>
      <c r="B55" s="22">
        <v>140035.82</v>
      </c>
      <c r="C55" s="23">
        <v>140035.82</v>
      </c>
      <c r="D55" s="22">
        <v>140035.82</v>
      </c>
      <c r="E55" s="103" t="s">
        <v>152</v>
      </c>
      <c r="F55" s="108">
        <v>3370955.77</v>
      </c>
      <c r="G55" s="108">
        <v>0</v>
      </c>
      <c r="H55" s="108"/>
      <c r="I55" s="108">
        <v>0</v>
      </c>
    </row>
    <row r="56" spans="1:9" x14ac:dyDescent="0.25">
      <c r="A56" s="19" t="s">
        <v>128</v>
      </c>
      <c r="B56" s="22"/>
      <c r="C56" s="23"/>
      <c r="D56" s="22"/>
      <c r="E56" s="103" t="s">
        <v>154</v>
      </c>
      <c r="F56" s="108"/>
      <c r="G56" s="108"/>
      <c r="H56" s="108"/>
      <c r="I56" s="108"/>
    </row>
    <row r="57" spans="1:9" ht="16.5" x14ac:dyDescent="0.25">
      <c r="A57" s="44" t="s">
        <v>170</v>
      </c>
      <c r="B57" s="22"/>
      <c r="C57" s="23"/>
      <c r="D57" s="22"/>
      <c r="E57" s="103" t="s">
        <v>156</v>
      </c>
      <c r="F57" s="108"/>
      <c r="G57" s="108"/>
      <c r="H57" s="108"/>
      <c r="I57" s="108"/>
    </row>
    <row r="58" spans="1:9" ht="16.5" x14ac:dyDescent="0.25">
      <c r="A58" s="44" t="s">
        <v>171</v>
      </c>
      <c r="B58" s="20">
        <f>SUM(B59:B60)</f>
        <v>60163679.459999993</v>
      </c>
      <c r="C58" s="18">
        <f>SUM(C59:C60)</f>
        <v>70822594.209999993</v>
      </c>
      <c r="D58" s="20">
        <f>SUM(D59:D60)</f>
        <v>92851137.099999994</v>
      </c>
      <c r="E58" s="103" t="s">
        <v>158</v>
      </c>
      <c r="F58" s="108">
        <v>10328.68</v>
      </c>
      <c r="G58" s="108">
        <v>25000</v>
      </c>
      <c r="H58" s="108">
        <v>25000</v>
      </c>
      <c r="I58" s="108">
        <v>40000</v>
      </c>
    </row>
    <row r="59" spans="1:9" ht="16.5" x14ac:dyDescent="0.25">
      <c r="A59" s="26" t="s">
        <v>172</v>
      </c>
      <c r="B59" s="22">
        <v>60163679.459999993</v>
      </c>
      <c r="C59" s="23">
        <f>55056266.11-855197.93+16621526.03</f>
        <v>70822594.209999993</v>
      </c>
      <c r="D59" s="105">
        <v>92851137.099999994</v>
      </c>
      <c r="E59" s="101" t="s">
        <v>173</v>
      </c>
      <c r="F59" s="108">
        <v>58392.46</v>
      </c>
      <c r="G59" s="108">
        <v>58392.46</v>
      </c>
      <c r="H59" s="108">
        <v>58392.46</v>
      </c>
      <c r="I59" s="108">
        <v>58392.46</v>
      </c>
    </row>
    <row r="60" spans="1:9" ht="16.5" x14ac:dyDescent="0.25">
      <c r="A60" s="26" t="s">
        <v>174</v>
      </c>
      <c r="B60" s="22"/>
      <c r="C60" s="23"/>
      <c r="D60" s="22"/>
      <c r="E60" s="101" t="s">
        <v>175</v>
      </c>
      <c r="F60" s="98">
        <f>SUM(F61:F67)</f>
        <v>24687735.289999999</v>
      </c>
      <c r="G60" s="120">
        <f>SUM(G61:G67)</f>
        <v>37898696.280000001</v>
      </c>
      <c r="H60" s="120">
        <f>SUM(H61:H67)</f>
        <v>15116369.33</v>
      </c>
      <c r="I60" s="120">
        <f>SUM(I61:I67)</f>
        <v>10055904.449999999</v>
      </c>
    </row>
    <row r="61" spans="1:9" x14ac:dyDescent="0.25">
      <c r="A61" s="115"/>
      <c r="B61" s="32"/>
      <c r="C61" s="33"/>
      <c r="D61" s="32"/>
      <c r="E61" s="102" t="s">
        <v>176</v>
      </c>
      <c r="F61" s="108">
        <v>16868669.34</v>
      </c>
      <c r="G61" s="108">
        <v>20346696.280000001</v>
      </c>
      <c r="H61" s="108">
        <f>9000000-944708+474754.83-113677.5</f>
        <v>8416369.3300000001</v>
      </c>
      <c r="I61" s="108">
        <f>5000000-944708-104460.05-144927.5</f>
        <v>3805904.45</v>
      </c>
    </row>
    <row r="62" spans="1:9" x14ac:dyDescent="0.25">
      <c r="A62" s="115"/>
      <c r="B62" s="39"/>
      <c r="C62" s="40"/>
      <c r="D62" s="39"/>
      <c r="E62" s="102" t="s">
        <v>177</v>
      </c>
      <c r="F62" s="108"/>
      <c r="G62" s="108"/>
      <c r="H62" s="108"/>
      <c r="I62" s="108"/>
    </row>
    <row r="63" spans="1:9" x14ac:dyDescent="0.25">
      <c r="A63" s="115"/>
      <c r="B63" s="39"/>
      <c r="C63" s="40"/>
      <c r="D63" s="39"/>
      <c r="E63" s="102" t="s">
        <v>178</v>
      </c>
      <c r="F63" s="108">
        <v>5487334.2400000002</v>
      </c>
      <c r="G63" s="108">
        <v>15452000</v>
      </c>
      <c r="H63" s="108">
        <v>4400000</v>
      </c>
      <c r="I63" s="108">
        <v>4000000</v>
      </c>
    </row>
    <row r="64" spans="1:9" x14ac:dyDescent="0.25">
      <c r="A64" s="115"/>
      <c r="B64" s="39"/>
      <c r="C64" s="40"/>
      <c r="D64" s="39"/>
      <c r="E64" s="102" t="s">
        <v>179</v>
      </c>
      <c r="F64" s="108">
        <v>643799.01</v>
      </c>
      <c r="G64" s="108">
        <v>600000</v>
      </c>
      <c r="H64" s="108">
        <v>600000</v>
      </c>
      <c r="I64" s="108">
        <v>650000</v>
      </c>
    </row>
    <row r="65" spans="1:9" x14ac:dyDescent="0.25">
      <c r="A65" s="115"/>
      <c r="B65" s="39"/>
      <c r="C65" s="40"/>
      <c r="D65" s="39"/>
      <c r="E65" s="102" t="s">
        <v>180</v>
      </c>
      <c r="F65" s="108"/>
      <c r="G65" s="108"/>
      <c r="H65" s="108"/>
      <c r="I65" s="108"/>
    </row>
    <row r="66" spans="1:9" x14ac:dyDescent="0.25">
      <c r="A66" s="115"/>
      <c r="B66" s="39"/>
      <c r="C66" s="40"/>
      <c r="D66" s="39"/>
      <c r="E66" s="102" t="s">
        <v>181</v>
      </c>
      <c r="F66" s="108">
        <v>1657776.67</v>
      </c>
      <c r="G66" s="108">
        <v>1500000</v>
      </c>
      <c r="H66" s="108">
        <v>1500000</v>
      </c>
      <c r="I66" s="108">
        <v>1600000</v>
      </c>
    </row>
    <row r="67" spans="1:9" x14ac:dyDescent="0.25">
      <c r="A67" s="115"/>
      <c r="B67" s="39"/>
      <c r="C67" s="40"/>
      <c r="D67" s="39"/>
      <c r="E67" s="102" t="s">
        <v>182</v>
      </c>
      <c r="F67" s="108">
        <v>30156.03</v>
      </c>
      <c r="G67" s="108"/>
      <c r="H67" s="108">
        <v>200000</v>
      </c>
      <c r="I67" s="108">
        <v>0</v>
      </c>
    </row>
    <row r="68" spans="1:9" ht="16.5" x14ac:dyDescent="0.25">
      <c r="A68" s="115"/>
      <c r="B68" s="39"/>
      <c r="C68" s="40"/>
      <c r="D68" s="39"/>
      <c r="E68" s="101" t="s">
        <v>183</v>
      </c>
      <c r="F68" s="105">
        <v>6754905.9000000004</v>
      </c>
      <c r="G68" s="108">
        <v>2756000</v>
      </c>
      <c r="H68" s="108">
        <v>3376350.87</v>
      </c>
      <c r="I68" s="108">
        <v>0</v>
      </c>
    </row>
    <row r="69" spans="1:9" ht="15.75" thickBot="1" x14ac:dyDescent="0.3">
      <c r="A69" s="115"/>
      <c r="B69" s="39"/>
      <c r="C69" s="40"/>
      <c r="D69" s="39"/>
      <c r="E69" s="86"/>
      <c r="F69" s="116"/>
      <c r="G69" s="117"/>
      <c r="H69" s="105"/>
      <c r="I69" s="117"/>
    </row>
    <row r="70" spans="1:9" ht="16.5" thickBot="1" x14ac:dyDescent="0.3">
      <c r="A70" s="118" t="s">
        <v>184</v>
      </c>
      <c r="B70" s="119">
        <f>B10+B33</f>
        <v>910076397.99000001</v>
      </c>
      <c r="C70" s="119" t="e">
        <f>C10+C33</f>
        <v>#REF!</v>
      </c>
      <c r="D70" s="119">
        <f>D10+D33</f>
        <v>1014084691.54</v>
      </c>
      <c r="E70" s="118" t="s">
        <v>185</v>
      </c>
      <c r="F70" s="119">
        <f>F10+F36+F51</f>
        <v>849957718.59000003</v>
      </c>
      <c r="G70" s="119">
        <f>G10+G36+G51</f>
        <v>910076397.99000013</v>
      </c>
      <c r="H70" s="119">
        <f>H10+H36+H51</f>
        <v>940309092.81000006</v>
      </c>
      <c r="I70" s="119">
        <f>I10+I36+I51</f>
        <v>1014084691.5400001</v>
      </c>
    </row>
    <row r="71" spans="1:9" x14ac:dyDescent="0.25">
      <c r="A71" s="52"/>
      <c r="B71" s="52"/>
      <c r="C71" s="52"/>
      <c r="D71" s="52"/>
      <c r="E71" s="52"/>
      <c r="F71" s="52"/>
      <c r="G71" s="52"/>
      <c r="H71" s="52"/>
      <c r="I71" s="52"/>
    </row>
  </sheetData>
  <mergeCells count="2">
    <mergeCell ref="A7:A8"/>
    <mergeCell ref="E7:E8"/>
  </mergeCells>
  <conditionalFormatting sqref="C12:D16 C18:D20 C22:D23 C34:D34 C36:D36 C47:D49 C51:D57 H13:I13 H15:I15 H17:I18 H20:I20 H22:I22 H27:I29 H38:I41 H43:I49 H52:I53 I55:I59 I61:I68 C25:D25 C38:D41 C59:D60">
    <cfRule type="cellIs" dxfId="36" priority="11" stopIfTrue="1" operator="lessThan">
      <formula>0</formula>
    </cfRule>
  </conditionalFormatting>
  <conditionalFormatting sqref="H14:I14 H21:I21 H24:I24">
    <cfRule type="cellIs" dxfId="35" priority="12" stopIfTrue="1" operator="greaterThan">
      <formula>0</formula>
    </cfRule>
  </conditionalFormatting>
  <conditionalFormatting sqref="B12:B16 B18:B20 B22:B23 B34 B36:B41 B43:B49 B51:B57 B59:B60 B25:B31">
    <cfRule type="cellIs" dxfId="34" priority="10" stopIfTrue="1" operator="lessThan">
      <formula>0</formula>
    </cfRule>
  </conditionalFormatting>
  <conditionalFormatting sqref="G13 G15 G17:G18 G20 G22 G27:G29 G32:G34 G38:G41 G43:G49 G52:G53 G55:G59 G61:G68">
    <cfRule type="cellIs" dxfId="33" priority="8" stopIfTrue="1" operator="lessThan">
      <formula>0</formula>
    </cfRule>
  </conditionalFormatting>
  <conditionalFormatting sqref="G14 G21 G24">
    <cfRule type="cellIs" dxfId="32" priority="9" stopIfTrue="1" operator="greaterThan">
      <formula>0</formula>
    </cfRule>
  </conditionalFormatting>
  <conditionalFormatting sqref="H55:H59 H61:H68">
    <cfRule type="cellIs" dxfId="31" priority="7" stopIfTrue="1" operator="lessThan">
      <formula>0</formula>
    </cfRule>
  </conditionalFormatting>
  <conditionalFormatting sqref="H32:I34">
    <cfRule type="cellIs" dxfId="30" priority="1" stopIfTrue="1" operator="lessThan">
      <formula>0</formula>
    </cfRule>
  </conditionalFormatting>
  <conditionalFormatting sqref="C26:D30 D31">
    <cfRule type="cellIs" dxfId="29" priority="6" stopIfTrue="1" operator="lessThan">
      <formula>0</formula>
    </cfRule>
  </conditionalFormatting>
  <conditionalFormatting sqref="C31">
    <cfRule type="cellIs" dxfId="28" priority="5" stopIfTrue="1" operator="lessThan">
      <formula>0</formula>
    </cfRule>
  </conditionalFormatting>
  <conditionalFormatting sqref="C37:D37">
    <cfRule type="cellIs" dxfId="27" priority="4" stopIfTrue="1" operator="lessThan">
      <formula>0</formula>
    </cfRule>
  </conditionalFormatting>
  <conditionalFormatting sqref="D43:D46">
    <cfRule type="cellIs" dxfId="26" priority="3" stopIfTrue="1" operator="lessThan">
      <formula>0</formula>
    </cfRule>
  </conditionalFormatting>
  <conditionalFormatting sqref="C43:C46">
    <cfRule type="cellIs" dxfId="25" priority="2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workbookViewId="0">
      <selection activeCell="H30" sqref="H30"/>
    </sheetView>
  </sheetViews>
  <sheetFormatPr baseColWidth="10" defaultRowHeight="15" x14ac:dyDescent="0.25"/>
  <cols>
    <col min="2" max="2" width="41.140625" customWidth="1"/>
    <col min="3" max="5" width="18.7109375" customWidth="1"/>
    <col min="6" max="6" width="52.140625" customWidth="1"/>
    <col min="7" max="9" width="20.28515625" customWidth="1"/>
  </cols>
  <sheetData>
    <row r="1" spans="1:9" x14ac:dyDescent="0.25">
      <c r="A1" t="s">
        <v>186</v>
      </c>
    </row>
    <row r="2" spans="1:9" ht="15.75" thickBot="1" x14ac:dyDescent="0.3"/>
    <row r="3" spans="1:9" ht="19.5" thickTop="1" thickBot="1" x14ac:dyDescent="0.3">
      <c r="B3" s="121" t="s">
        <v>1</v>
      </c>
      <c r="D3" s="122" t="s">
        <v>187</v>
      </c>
      <c r="I3" s="123" t="s">
        <v>188</v>
      </c>
    </row>
    <row r="4" spans="1:9" ht="16.5" thickTop="1" x14ac:dyDescent="0.25">
      <c r="B4" s="121" t="s">
        <v>3</v>
      </c>
      <c r="C4" s="121"/>
    </row>
    <row r="5" spans="1:9" ht="15.75" x14ac:dyDescent="0.25">
      <c r="B5" s="121" t="s">
        <v>4</v>
      </c>
      <c r="C5" s="121"/>
      <c r="E5" s="124"/>
      <c r="H5" s="121"/>
    </row>
    <row r="6" spans="1:9" ht="15.75" x14ac:dyDescent="0.25">
      <c r="B6" s="121" t="s">
        <v>5</v>
      </c>
      <c r="C6" s="121"/>
      <c r="E6" s="121"/>
      <c r="H6" s="121"/>
    </row>
    <row r="7" spans="1:9" ht="16.5" thickBot="1" x14ac:dyDescent="0.3">
      <c r="B7" s="121"/>
      <c r="E7" s="121"/>
      <c r="H7" s="121"/>
    </row>
    <row r="8" spans="1:9" ht="15.75" x14ac:dyDescent="0.25">
      <c r="B8" s="256" t="s">
        <v>189</v>
      </c>
      <c r="C8" s="125" t="s">
        <v>7</v>
      </c>
      <c r="D8" s="125" t="s">
        <v>8</v>
      </c>
      <c r="E8" s="125" t="s">
        <v>7</v>
      </c>
      <c r="F8" s="259" t="s">
        <v>190</v>
      </c>
      <c r="G8" s="125" t="s">
        <v>7</v>
      </c>
      <c r="H8" s="125" t="s">
        <v>8</v>
      </c>
      <c r="I8" s="126" t="s">
        <v>7</v>
      </c>
    </row>
    <row r="9" spans="1:9" ht="16.5" thickBot="1" x14ac:dyDescent="0.3">
      <c r="B9" s="257"/>
      <c r="C9" s="127">
        <v>2020</v>
      </c>
      <c r="D9" s="127">
        <v>2020</v>
      </c>
      <c r="E9" s="128">
        <v>2021</v>
      </c>
      <c r="F9" s="260"/>
      <c r="G9" s="127">
        <f>C9</f>
        <v>2020</v>
      </c>
      <c r="H9" s="127">
        <f>D9</f>
        <v>2020</v>
      </c>
      <c r="I9" s="129">
        <f>E9</f>
        <v>2021</v>
      </c>
    </row>
    <row r="10" spans="1:9" ht="17.25" thickTop="1" x14ac:dyDescent="0.3">
      <c r="B10" s="130"/>
      <c r="C10" s="131"/>
      <c r="D10" s="131"/>
      <c r="E10" s="131"/>
      <c r="F10" s="132"/>
      <c r="G10" s="133"/>
      <c r="H10" s="133"/>
      <c r="I10" s="134"/>
    </row>
    <row r="11" spans="1:9" ht="15.75" x14ac:dyDescent="0.25">
      <c r="B11" s="135" t="s">
        <v>191</v>
      </c>
      <c r="C11" s="136">
        <f>C12+C17+C23+C26</f>
        <v>115387012.17</v>
      </c>
      <c r="D11" s="136">
        <f>D12+D17+D23+D26</f>
        <v>130876623.44</v>
      </c>
      <c r="E11" s="136">
        <f>E12+E17+E23+E26</f>
        <v>101776280.19</v>
      </c>
      <c r="F11" s="137" t="s">
        <v>192</v>
      </c>
      <c r="G11" s="136">
        <f>SUM(G12:G23)</f>
        <v>20014180.750000004</v>
      </c>
      <c r="H11" s="136">
        <f>SUM(H12:H23)</f>
        <v>20324449.540000003</v>
      </c>
      <c r="I11" s="138">
        <f>SUM(I12:I23)</f>
        <v>15558437.920000006</v>
      </c>
    </row>
    <row r="12" spans="1:9" x14ac:dyDescent="0.25">
      <c r="B12" s="139" t="s">
        <v>193</v>
      </c>
      <c r="C12" s="140">
        <f>SUM(C13:C16)</f>
        <v>132873.97</v>
      </c>
      <c r="D12" s="140">
        <f>SUM(D13:D16)</f>
        <v>132873.97</v>
      </c>
      <c r="E12" s="140">
        <f>SUM(E13:E16)</f>
        <v>120000</v>
      </c>
      <c r="F12" s="141" t="s">
        <v>194</v>
      </c>
      <c r="G12" s="140">
        <v>12352234.250000004</v>
      </c>
      <c r="H12" s="140">
        <v>17244521.649999995</v>
      </c>
      <c r="I12" s="142">
        <v>6651407.8000000054</v>
      </c>
    </row>
    <row r="13" spans="1:9" x14ac:dyDescent="0.25">
      <c r="B13" s="139" t="s">
        <v>195</v>
      </c>
      <c r="C13" s="140"/>
      <c r="D13" s="143"/>
      <c r="E13" s="143"/>
      <c r="F13" s="141" t="s">
        <v>196</v>
      </c>
      <c r="G13" s="140">
        <v>14149105.23</v>
      </c>
      <c r="H13" s="140">
        <v>13539026.220000001</v>
      </c>
      <c r="I13" s="142">
        <v>15178094.440000001</v>
      </c>
    </row>
    <row r="14" spans="1:9" x14ac:dyDescent="0.25">
      <c r="B14" s="139" t="s">
        <v>197</v>
      </c>
      <c r="C14" s="140"/>
      <c r="D14" s="143"/>
      <c r="E14" s="143"/>
      <c r="F14" s="141" t="s">
        <v>198</v>
      </c>
      <c r="G14" s="140">
        <v>0</v>
      </c>
      <c r="H14" s="140">
        <v>0</v>
      </c>
      <c r="I14" s="142">
        <v>0</v>
      </c>
    </row>
    <row r="15" spans="1:9" x14ac:dyDescent="0.25">
      <c r="B15" s="139" t="s">
        <v>199</v>
      </c>
      <c r="C15" s="140">
        <v>132873.97</v>
      </c>
      <c r="D15" s="143">
        <v>132873.97</v>
      </c>
      <c r="E15" s="143">
        <v>120000</v>
      </c>
      <c r="F15" s="141" t="s">
        <v>200</v>
      </c>
      <c r="G15" s="140">
        <v>-500000</v>
      </c>
      <c r="H15" s="140">
        <v>1469953.17</v>
      </c>
      <c r="I15" s="142">
        <v>1179214.8799999999</v>
      </c>
    </row>
    <row r="16" spans="1:9" x14ac:dyDescent="0.25">
      <c r="B16" s="139" t="s">
        <v>201</v>
      </c>
      <c r="C16" s="140"/>
      <c r="D16" s="143"/>
      <c r="E16" s="143"/>
      <c r="F16" s="141" t="s">
        <v>202</v>
      </c>
      <c r="G16" s="140">
        <v>-6360000</v>
      </c>
      <c r="H16" s="140">
        <v>-17666201.059999999</v>
      </c>
      <c r="I16" s="142">
        <v>-7860000</v>
      </c>
    </row>
    <row r="17" spans="2:9" x14ac:dyDescent="0.25">
      <c r="B17" s="139" t="s">
        <v>203</v>
      </c>
      <c r="C17" s="140">
        <f>SUM(C18:C22)</f>
        <v>310000</v>
      </c>
      <c r="D17" s="140">
        <f>SUM(D18:D22)</f>
        <v>1206496.6000000001</v>
      </c>
      <c r="E17" s="140">
        <f>SUM(E18:E22)</f>
        <v>410000</v>
      </c>
      <c r="F17" s="141" t="s">
        <v>204</v>
      </c>
      <c r="G17" s="140">
        <v>300000</v>
      </c>
      <c r="H17" s="140">
        <v>1049019.47</v>
      </c>
      <c r="I17" s="142">
        <v>200000</v>
      </c>
    </row>
    <row r="18" spans="2:9" x14ac:dyDescent="0.25">
      <c r="B18" s="139" t="s">
        <v>205</v>
      </c>
      <c r="C18" s="140"/>
      <c r="D18" s="143"/>
      <c r="E18" s="143"/>
      <c r="F18" s="141" t="s">
        <v>206</v>
      </c>
      <c r="G18" s="140">
        <v>0</v>
      </c>
      <c r="H18" s="140">
        <v>0</v>
      </c>
      <c r="I18" s="142">
        <v>0</v>
      </c>
    </row>
    <row r="19" spans="2:9" x14ac:dyDescent="0.25">
      <c r="B19" s="139" t="s">
        <v>207</v>
      </c>
      <c r="C19" s="140"/>
      <c r="D19" s="143"/>
      <c r="E19" s="143"/>
      <c r="F19" s="141" t="s">
        <v>208</v>
      </c>
      <c r="G19" s="140">
        <v>0</v>
      </c>
      <c r="H19" s="140">
        <v>0</v>
      </c>
      <c r="I19" s="142">
        <v>0</v>
      </c>
    </row>
    <row r="20" spans="2:9" x14ac:dyDescent="0.25">
      <c r="B20" s="139" t="s">
        <v>209</v>
      </c>
      <c r="C20" s="140">
        <v>310000</v>
      </c>
      <c r="D20" s="143">
        <f>310000+896496.6</f>
        <v>1206496.6000000001</v>
      </c>
      <c r="E20" s="143">
        <v>410000</v>
      </c>
      <c r="F20" s="141" t="s">
        <v>210</v>
      </c>
      <c r="G20" s="140">
        <v>0</v>
      </c>
      <c r="H20" s="140">
        <v>0</v>
      </c>
      <c r="I20" s="142">
        <v>0</v>
      </c>
    </row>
    <row r="21" spans="2:9" x14ac:dyDescent="0.25">
      <c r="B21" s="139" t="s">
        <v>211</v>
      </c>
      <c r="C21" s="140"/>
      <c r="D21" s="143"/>
      <c r="E21" s="143"/>
      <c r="F21" s="141" t="s">
        <v>212</v>
      </c>
      <c r="G21" s="140">
        <v>-100000</v>
      </c>
      <c r="H21" s="140">
        <v>4367114.1099999994</v>
      </c>
      <c r="I21" s="142">
        <v>0</v>
      </c>
    </row>
    <row r="22" spans="2:9" x14ac:dyDescent="0.25">
      <c r="B22" s="139" t="s">
        <v>213</v>
      </c>
      <c r="C22" s="140"/>
      <c r="D22" s="143"/>
      <c r="E22" s="143"/>
      <c r="F22" s="141" t="s">
        <v>214</v>
      </c>
      <c r="G22" s="140">
        <v>172841.27</v>
      </c>
      <c r="H22" s="140">
        <v>321015.98000000004</v>
      </c>
      <c r="I22" s="142">
        <v>209720.8</v>
      </c>
    </row>
    <row r="23" spans="2:9" x14ac:dyDescent="0.25">
      <c r="B23" s="139" t="s">
        <v>215</v>
      </c>
      <c r="C23" s="140">
        <f>SUM(C24:C25)</f>
        <v>114444138.2</v>
      </c>
      <c r="D23" s="140">
        <f>SUM(D24:D25)</f>
        <v>125927252.87</v>
      </c>
      <c r="E23" s="140">
        <f>SUM(E24:E25)</f>
        <v>97996280.189999998</v>
      </c>
      <c r="F23" s="141" t="s">
        <v>216</v>
      </c>
      <c r="G23" s="140">
        <v>0</v>
      </c>
      <c r="H23" s="140">
        <v>0</v>
      </c>
      <c r="I23" s="142">
        <v>0</v>
      </c>
    </row>
    <row r="24" spans="2:9" x14ac:dyDescent="0.25">
      <c r="B24" s="139" t="s">
        <v>217</v>
      </c>
      <c r="C24" s="140">
        <v>10000000</v>
      </c>
      <c r="D24" s="143">
        <f>33147213.51+2000000+2415600+635505</f>
        <v>38198318.510000005</v>
      </c>
      <c r="E24" s="143">
        <v>15000000</v>
      </c>
      <c r="G24" s="144"/>
      <c r="H24" s="144"/>
      <c r="I24" s="145"/>
    </row>
    <row r="25" spans="2:9" ht="15.75" x14ac:dyDescent="0.25">
      <c r="B25" s="139" t="s">
        <v>218</v>
      </c>
      <c r="C25" s="140">
        <v>104444138.2</v>
      </c>
      <c r="D25" s="143">
        <v>87728934.359999999</v>
      </c>
      <c r="E25" s="143">
        <f>75381908.09+7614372.1</f>
        <v>82996280.189999998</v>
      </c>
      <c r="F25" s="137" t="s">
        <v>219</v>
      </c>
      <c r="G25" s="136">
        <f>SUM(G26:G27)</f>
        <v>0</v>
      </c>
      <c r="H25" s="136">
        <f>SUM(H26:H27)</f>
        <v>0</v>
      </c>
      <c r="I25" s="138">
        <f>SUM(I26:I27)</f>
        <v>0</v>
      </c>
    </row>
    <row r="26" spans="2:9" x14ac:dyDescent="0.25">
      <c r="B26" s="139" t="s">
        <v>220</v>
      </c>
      <c r="C26" s="140">
        <f>SUM(C27:C32)</f>
        <v>500000</v>
      </c>
      <c r="D26" s="140">
        <f>SUM(D27:D32)</f>
        <v>3610000</v>
      </c>
      <c r="E26" s="140">
        <f>SUM(E27:E32)</f>
        <v>3250000</v>
      </c>
      <c r="F26" s="141" t="s">
        <v>221</v>
      </c>
      <c r="G26" s="140"/>
      <c r="H26" s="143"/>
      <c r="I26" s="146"/>
    </row>
    <row r="27" spans="2:9" x14ac:dyDescent="0.25">
      <c r="B27" s="19" t="s">
        <v>222</v>
      </c>
      <c r="C27" s="140"/>
      <c r="D27" s="143"/>
      <c r="E27" s="143"/>
      <c r="F27" s="141" t="s">
        <v>223</v>
      </c>
      <c r="G27" s="140"/>
      <c r="H27" s="143"/>
      <c r="I27" s="146"/>
    </row>
    <row r="28" spans="2:9" x14ac:dyDescent="0.25">
      <c r="B28" s="19" t="s">
        <v>224</v>
      </c>
      <c r="C28" s="140"/>
      <c r="D28" s="143">
        <v>2610000</v>
      </c>
      <c r="E28" s="143">
        <v>2750000</v>
      </c>
      <c r="F28" s="141"/>
      <c r="G28" s="140"/>
      <c r="H28" s="140"/>
      <c r="I28" s="142"/>
    </row>
    <row r="29" spans="2:9" ht="15.75" x14ac:dyDescent="0.25">
      <c r="B29" s="19" t="s">
        <v>225</v>
      </c>
      <c r="C29" s="140"/>
      <c r="D29" s="143"/>
      <c r="E29" s="143"/>
      <c r="F29" s="137" t="s">
        <v>226</v>
      </c>
      <c r="G29" s="136">
        <f>SUM(G30:G32)</f>
        <v>66136508.399999999</v>
      </c>
      <c r="H29" s="136">
        <f>SUM(H30:H32)</f>
        <v>124107509.31</v>
      </c>
      <c r="I29" s="138">
        <f>SUM(I30:I32)</f>
        <v>82888321</v>
      </c>
    </row>
    <row r="30" spans="2:9" x14ac:dyDescent="0.25">
      <c r="B30" s="19" t="s">
        <v>227</v>
      </c>
      <c r="C30" s="140"/>
      <c r="D30" s="143"/>
      <c r="E30" s="143"/>
      <c r="F30" s="141" t="s">
        <v>228</v>
      </c>
      <c r="G30" s="140">
        <v>50260000</v>
      </c>
      <c r="H30" s="173">
        <f>49740564.4+500000+2415600+18458495.9+12500000</f>
        <v>83614660.299999997</v>
      </c>
      <c r="I30" s="146">
        <v>67888321</v>
      </c>
    </row>
    <row r="31" spans="2:9" x14ac:dyDescent="0.25">
      <c r="B31" s="19" t="s">
        <v>229</v>
      </c>
      <c r="C31" s="140"/>
      <c r="D31" s="143"/>
      <c r="E31" s="143"/>
      <c r="F31" s="141" t="s">
        <v>230</v>
      </c>
      <c r="G31" s="140">
        <v>5876508.4000000004</v>
      </c>
      <c r="H31" s="143">
        <v>7345635.5</v>
      </c>
      <c r="I31" s="146"/>
    </row>
    <row r="32" spans="2:9" x14ac:dyDescent="0.25">
      <c r="B32" s="19" t="s">
        <v>231</v>
      </c>
      <c r="C32" s="140">
        <v>500000</v>
      </c>
      <c r="D32" s="143">
        <v>1000000</v>
      </c>
      <c r="E32" s="143">
        <v>500000</v>
      </c>
      <c r="F32" s="141" t="s">
        <v>232</v>
      </c>
      <c r="G32" s="140">
        <v>10000000</v>
      </c>
      <c r="H32" s="143">
        <v>33147213.509999998</v>
      </c>
      <c r="I32" s="146">
        <v>15000000</v>
      </c>
    </row>
    <row r="33" spans="2:9" ht="15.75" x14ac:dyDescent="0.25">
      <c r="B33" s="26"/>
      <c r="C33" s="140"/>
      <c r="D33" s="140"/>
      <c r="E33" s="140"/>
      <c r="F33" s="121"/>
      <c r="G33" s="147"/>
      <c r="H33" s="147"/>
      <c r="I33" s="148"/>
    </row>
    <row r="34" spans="2:9" ht="15.75" x14ac:dyDescent="0.25">
      <c r="B34" s="149"/>
      <c r="C34" s="140"/>
      <c r="D34" s="140"/>
      <c r="E34" s="140"/>
      <c r="F34" s="137" t="s">
        <v>233</v>
      </c>
      <c r="G34" s="136">
        <f>SUM(G35:G37)</f>
        <v>0</v>
      </c>
      <c r="H34" s="136">
        <f>SUM(H35:H37)</f>
        <v>0</v>
      </c>
      <c r="I34" s="138">
        <f>SUM(I35:I37)</f>
        <v>0</v>
      </c>
    </row>
    <row r="35" spans="2:9" ht="15.75" x14ac:dyDescent="0.25">
      <c r="B35" s="150" t="s">
        <v>234</v>
      </c>
      <c r="C35" s="136"/>
      <c r="D35" s="151"/>
      <c r="E35" s="151"/>
      <c r="F35" s="141" t="s">
        <v>235</v>
      </c>
      <c r="G35" s="140"/>
      <c r="H35" s="143"/>
      <c r="I35" s="146"/>
    </row>
    <row r="36" spans="2:9" ht="15.75" x14ac:dyDescent="0.25">
      <c r="B36" s="150"/>
      <c r="C36" s="140"/>
      <c r="D36" s="140"/>
      <c r="E36" s="140"/>
      <c r="F36" s="141" t="s">
        <v>236</v>
      </c>
      <c r="G36" s="140"/>
      <c r="H36" s="143"/>
      <c r="I36" s="146"/>
    </row>
    <row r="37" spans="2:9" ht="15.75" x14ac:dyDescent="0.25">
      <c r="B37" s="135" t="s">
        <v>237</v>
      </c>
      <c r="C37" s="136"/>
      <c r="D37" s="151"/>
      <c r="E37" s="151"/>
      <c r="F37" s="141" t="s">
        <v>238</v>
      </c>
      <c r="G37" s="140"/>
      <c r="H37" s="143"/>
      <c r="I37" s="146"/>
    </row>
    <row r="38" spans="2:9" ht="15.75" x14ac:dyDescent="0.25">
      <c r="B38" s="135"/>
      <c r="C38" s="140"/>
      <c r="D38" s="140"/>
      <c r="E38" s="140"/>
      <c r="F38" s="137"/>
      <c r="G38" s="147"/>
      <c r="H38" s="147"/>
      <c r="I38" s="148"/>
    </row>
    <row r="39" spans="2:9" ht="15.75" x14ac:dyDescent="0.25">
      <c r="B39" s="135" t="s">
        <v>239</v>
      </c>
      <c r="C39" s="136">
        <f>SUM(C40:C42)</f>
        <v>20335690.460000001</v>
      </c>
      <c r="D39" s="136">
        <f>SUM(D40:D42)</f>
        <v>20293063.649999999</v>
      </c>
      <c r="E39" s="136">
        <f>SUM(E40:E42)</f>
        <v>0</v>
      </c>
      <c r="F39" s="137" t="s">
        <v>240</v>
      </c>
      <c r="G39" s="136">
        <f>SUM(G40:G45)</f>
        <v>800000</v>
      </c>
      <c r="H39" s="136">
        <f>SUM(H40:H45)</f>
        <v>7041698.2199999997</v>
      </c>
      <c r="I39" s="138">
        <f>SUM(I40:I45)</f>
        <v>3007790.41</v>
      </c>
    </row>
    <row r="40" spans="2:9" x14ac:dyDescent="0.25">
      <c r="B40" s="149" t="s">
        <v>235</v>
      </c>
      <c r="C40" s="140">
        <v>20335690.460000001</v>
      </c>
      <c r="D40" s="143">
        <v>20293063.649999999</v>
      </c>
      <c r="E40" s="143"/>
      <c r="F40" s="141" t="s">
        <v>241</v>
      </c>
      <c r="G40" s="140"/>
      <c r="H40" s="143"/>
      <c r="I40" s="146"/>
    </row>
    <row r="41" spans="2:9" x14ac:dyDescent="0.25">
      <c r="B41" s="149" t="s">
        <v>242</v>
      </c>
      <c r="C41" s="140"/>
      <c r="D41" s="143"/>
      <c r="E41" s="143"/>
      <c r="F41" s="141" t="s">
        <v>243</v>
      </c>
      <c r="G41" s="140"/>
      <c r="H41" s="143"/>
      <c r="I41" s="146"/>
    </row>
    <row r="42" spans="2:9" x14ac:dyDescent="0.25">
      <c r="B42" s="149" t="s">
        <v>244</v>
      </c>
      <c r="C42" s="140"/>
      <c r="D42" s="143"/>
      <c r="E42" s="143"/>
      <c r="F42" s="141" t="s">
        <v>245</v>
      </c>
      <c r="G42" s="140"/>
      <c r="H42" s="143">
        <v>6186367.2199999997</v>
      </c>
      <c r="I42" s="146">
        <v>1179457.08</v>
      </c>
    </row>
    <row r="43" spans="2:9" x14ac:dyDescent="0.25">
      <c r="B43" s="149"/>
      <c r="C43" s="140"/>
      <c r="D43" s="140"/>
      <c r="E43" s="140"/>
      <c r="F43" s="141" t="s">
        <v>246</v>
      </c>
      <c r="G43" s="140">
        <v>800000</v>
      </c>
      <c r="H43" s="143">
        <f>800000+55331</f>
        <v>855331</v>
      </c>
      <c r="I43" s="146">
        <v>1828333.33</v>
      </c>
    </row>
    <row r="44" spans="2:9" ht="15.75" x14ac:dyDescent="0.25">
      <c r="B44" s="135" t="s">
        <v>247</v>
      </c>
      <c r="C44" s="136">
        <f>SUM(C45:C46)</f>
        <v>1000000</v>
      </c>
      <c r="D44" s="136">
        <f>SUM(D45:D46)</f>
        <v>1000000</v>
      </c>
      <c r="E44" s="136">
        <f>SUM(E45:E46)</f>
        <v>500000</v>
      </c>
      <c r="F44" s="141" t="s">
        <v>248</v>
      </c>
      <c r="G44" s="140"/>
      <c r="H44" s="143"/>
      <c r="I44" s="146"/>
    </row>
    <row r="45" spans="2:9" ht="15.75" x14ac:dyDescent="0.25">
      <c r="B45" s="149" t="s">
        <v>249</v>
      </c>
      <c r="C45" s="152"/>
      <c r="D45" s="153"/>
      <c r="E45" s="154"/>
      <c r="F45" s="141" t="s">
        <v>250</v>
      </c>
      <c r="G45" s="140"/>
      <c r="H45" s="143"/>
      <c r="I45" s="146"/>
    </row>
    <row r="46" spans="2:9" ht="15.75" x14ac:dyDescent="0.25">
      <c r="B46" s="149" t="s">
        <v>251</v>
      </c>
      <c r="C46" s="152">
        <v>1000000</v>
      </c>
      <c r="D46" s="153">
        <v>1000000</v>
      </c>
      <c r="E46" s="154">
        <v>500000</v>
      </c>
      <c r="F46" s="141"/>
      <c r="G46" s="140"/>
      <c r="H46" s="143"/>
      <c r="I46" s="146"/>
    </row>
    <row r="47" spans="2:9" ht="16.5" thickBot="1" x14ac:dyDescent="0.3">
      <c r="B47" s="150"/>
      <c r="C47" s="155"/>
      <c r="D47" s="155"/>
      <c r="E47" s="156"/>
      <c r="F47" s="157"/>
      <c r="G47" s="158"/>
      <c r="H47" s="158"/>
      <c r="I47" s="159"/>
    </row>
    <row r="48" spans="2:9" ht="19.5" thickTop="1" thickBot="1" x14ac:dyDescent="0.3">
      <c r="B48" s="160" t="s">
        <v>252</v>
      </c>
      <c r="C48" s="161">
        <f>C11+C35+C37+C39+C44</f>
        <v>136722702.63</v>
      </c>
      <c r="D48" s="161">
        <f>D11+D35+D37+D39+D44</f>
        <v>152169687.09</v>
      </c>
      <c r="E48" s="161">
        <f>E11+E35+E37+E39+E44</f>
        <v>102276280.19</v>
      </c>
      <c r="F48" s="162" t="s">
        <v>253</v>
      </c>
      <c r="G48" s="161">
        <f>G11+G25+G29+G34+G39</f>
        <v>86950689.150000006</v>
      </c>
      <c r="H48" s="161">
        <f>H11+H25+H29+H34+H39</f>
        <v>151473657.06999999</v>
      </c>
      <c r="I48" s="163">
        <f>I11+I25+I29+I34+I39</f>
        <v>101454549.33</v>
      </c>
    </row>
    <row r="49" spans="2:9" ht="15.75" thickTop="1" x14ac:dyDescent="0.25">
      <c r="B49" s="164"/>
      <c r="C49" s="165"/>
      <c r="D49" s="165"/>
      <c r="E49" s="165"/>
      <c r="F49" s="166"/>
      <c r="G49" s="165"/>
      <c r="H49" s="165"/>
      <c r="I49" s="167"/>
    </row>
    <row r="50" spans="2:9" ht="17.25" thickBot="1" x14ac:dyDescent="0.3">
      <c r="B50" s="168" t="s">
        <v>254</v>
      </c>
      <c r="C50" s="169">
        <f>IF(G48-C48&gt;0,G48-C48,0)</f>
        <v>0</v>
      </c>
      <c r="D50" s="169">
        <f>IF(H48-D48&gt;0,H48-D48,0)</f>
        <v>0</v>
      </c>
      <c r="E50" s="169">
        <f>IF(I48-E48&gt;0,I48-E48,0)</f>
        <v>0</v>
      </c>
      <c r="F50" s="170" t="s">
        <v>255</v>
      </c>
      <c r="G50" s="169">
        <f>IF(C48-G48&gt;0,C48-G48,0)</f>
        <v>49772013.479999989</v>
      </c>
      <c r="H50" s="169">
        <f>IF(D48-H48&gt;0,D48-H48,0)</f>
        <v>696030.02000001073</v>
      </c>
      <c r="I50" s="171">
        <f>IF(E48-I48&gt;0,E48-I48,0)</f>
        <v>821730.8599999994</v>
      </c>
    </row>
    <row r="51" spans="2:9" x14ac:dyDescent="0.25">
      <c r="H51" s="172"/>
    </row>
  </sheetData>
  <mergeCells count="2">
    <mergeCell ref="B8:B9"/>
    <mergeCell ref="F8:F9"/>
  </mergeCells>
  <conditionalFormatting sqref="D13:E14 D18:E19 D35:E35 D37:E37 D27:E27 D41:E42 D45:E45 H26:I27 H35:I37 H40:I41 D16:E16 D21:E22 D29:E31 D33:E33 E40 H44:I45">
    <cfRule type="cellIs" dxfId="24" priority="15" stopIfTrue="1" operator="lessThan">
      <formula>0</formula>
    </cfRule>
  </conditionalFormatting>
  <conditionalFormatting sqref="D15:E15">
    <cfRule type="cellIs" dxfId="23" priority="14" stopIfTrue="1" operator="lessThan">
      <formula>0</formula>
    </cfRule>
  </conditionalFormatting>
  <conditionalFormatting sqref="D20:E20">
    <cfRule type="cellIs" dxfId="22" priority="13" stopIfTrue="1" operator="lessThan">
      <formula>0</formula>
    </cfRule>
  </conditionalFormatting>
  <conditionalFormatting sqref="D24">
    <cfRule type="cellIs" dxfId="21" priority="12" stopIfTrue="1" operator="lessThan">
      <formula>0</formula>
    </cfRule>
  </conditionalFormatting>
  <conditionalFormatting sqref="D25">
    <cfRule type="cellIs" dxfId="20" priority="11" stopIfTrue="1" operator="lessThan">
      <formula>0</formula>
    </cfRule>
  </conditionalFormatting>
  <conditionalFormatting sqref="E24:E25">
    <cfRule type="cellIs" dxfId="19" priority="10" stopIfTrue="1" operator="lessThan">
      <formula>0</formula>
    </cfRule>
  </conditionalFormatting>
  <conditionalFormatting sqref="D28:E28">
    <cfRule type="cellIs" dxfId="18" priority="9" stopIfTrue="1" operator="lessThan">
      <formula>0</formula>
    </cfRule>
  </conditionalFormatting>
  <conditionalFormatting sqref="D32:E32">
    <cfRule type="cellIs" dxfId="17" priority="8" stopIfTrue="1" operator="lessThan">
      <formula>0</formula>
    </cfRule>
  </conditionalFormatting>
  <conditionalFormatting sqref="D40">
    <cfRule type="cellIs" dxfId="16" priority="7" stopIfTrue="1" operator="lessThan">
      <formula>0</formula>
    </cfRule>
  </conditionalFormatting>
  <conditionalFormatting sqref="D46:E46">
    <cfRule type="cellIs" dxfId="15" priority="6" stopIfTrue="1" operator="lessThan">
      <formula>0</formula>
    </cfRule>
  </conditionalFormatting>
  <conditionalFormatting sqref="H32:I32 H30">
    <cfRule type="cellIs" dxfId="14" priority="5" stopIfTrue="1" operator="lessThan">
      <formula>0</formula>
    </cfRule>
  </conditionalFormatting>
  <conditionalFormatting sqref="I30">
    <cfRule type="cellIs" dxfId="13" priority="4" stopIfTrue="1" operator="lessThan">
      <formula>0</formula>
    </cfRule>
  </conditionalFormatting>
  <conditionalFormatting sqref="H31">
    <cfRule type="cellIs" dxfId="12" priority="3" stopIfTrue="1" operator="lessThan">
      <formula>0</formula>
    </cfRule>
  </conditionalFormatting>
  <conditionalFormatting sqref="I31">
    <cfRule type="cellIs" dxfId="11" priority="2" stopIfTrue="1" operator="lessThan">
      <formula>0</formula>
    </cfRule>
  </conditionalFormatting>
  <conditionalFormatting sqref="H42:I43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workbookViewId="0">
      <selection activeCell="I44" sqref="I44"/>
    </sheetView>
  </sheetViews>
  <sheetFormatPr baseColWidth="10" defaultRowHeight="15" x14ac:dyDescent="0.25"/>
  <cols>
    <col min="2" max="2" width="58.140625" customWidth="1"/>
    <col min="3" max="5" width="27.7109375" customWidth="1"/>
  </cols>
  <sheetData>
    <row r="1" spans="1:5" x14ac:dyDescent="0.25">
      <c r="A1" t="s">
        <v>256</v>
      </c>
    </row>
    <row r="3" spans="1:5" ht="18.75" thickBot="1" x14ac:dyDescent="0.3">
      <c r="B3" s="251" t="s">
        <v>257</v>
      </c>
      <c r="C3" s="251"/>
      <c r="D3" s="251"/>
      <c r="E3" s="251"/>
    </row>
    <row r="4" spans="1:5" ht="17.25" thickTop="1" thickBot="1" x14ac:dyDescent="0.3">
      <c r="B4" s="2" t="s">
        <v>1</v>
      </c>
      <c r="C4" s="2"/>
      <c r="D4" s="2"/>
      <c r="E4" s="3" t="s">
        <v>258</v>
      </c>
    </row>
    <row r="5" spans="1:5" ht="16.5" thickTop="1" x14ac:dyDescent="0.25">
      <c r="B5" s="2" t="s">
        <v>3</v>
      </c>
      <c r="C5" s="2"/>
      <c r="D5" s="2"/>
      <c r="E5" s="1"/>
    </row>
    <row r="6" spans="1:5" ht="15.75" x14ac:dyDescent="0.25">
      <c r="B6" s="2" t="s">
        <v>4</v>
      </c>
      <c r="C6" s="2"/>
      <c r="D6" s="2"/>
      <c r="E6" s="1"/>
    </row>
    <row r="7" spans="1:5" ht="15.75" x14ac:dyDescent="0.25">
      <c r="B7" s="2" t="s">
        <v>5</v>
      </c>
      <c r="C7" s="2"/>
      <c r="D7" s="2"/>
      <c r="E7" s="1"/>
    </row>
    <row r="8" spans="1:5" ht="16.5" thickBot="1" x14ac:dyDescent="0.3">
      <c r="B8" s="2"/>
      <c r="C8" s="2"/>
      <c r="D8" s="2"/>
      <c r="E8" s="1"/>
    </row>
    <row r="9" spans="1:5" ht="15.75" x14ac:dyDescent="0.25">
      <c r="B9" s="4"/>
      <c r="C9" s="5" t="s">
        <v>7</v>
      </c>
      <c r="D9" s="7" t="s">
        <v>8</v>
      </c>
      <c r="E9" s="6" t="s">
        <v>7</v>
      </c>
    </row>
    <row r="10" spans="1:5" ht="16.5" thickBot="1" x14ac:dyDescent="0.3">
      <c r="B10" s="8"/>
      <c r="C10" s="9">
        <v>2020</v>
      </c>
      <c r="D10" s="9">
        <v>2020</v>
      </c>
      <c r="E10" s="10">
        <v>2021</v>
      </c>
    </row>
    <row r="11" spans="1:5" ht="16.5" thickTop="1" x14ac:dyDescent="0.25">
      <c r="B11" s="11"/>
      <c r="C11" s="12"/>
      <c r="D11" s="12"/>
      <c r="E11" s="13"/>
    </row>
    <row r="12" spans="1:5" ht="15.75" x14ac:dyDescent="0.25">
      <c r="B12" s="14" t="s">
        <v>259</v>
      </c>
      <c r="C12" s="15"/>
      <c r="D12" s="15"/>
      <c r="E12" s="16"/>
    </row>
    <row r="13" spans="1:5" ht="16.5" x14ac:dyDescent="0.25">
      <c r="B13" s="17" t="s">
        <v>260</v>
      </c>
      <c r="C13" s="18">
        <v>12517575.520000003</v>
      </c>
      <c r="D13" s="18">
        <v>17554790.419999994</v>
      </c>
      <c r="E13" s="20">
        <v>6858628.6000000052</v>
      </c>
    </row>
    <row r="14" spans="1:5" ht="16.5" x14ac:dyDescent="0.25">
      <c r="B14" s="17" t="s">
        <v>261</v>
      </c>
      <c r="C14" s="18">
        <v>7639105.2300000004</v>
      </c>
      <c r="D14" s="18">
        <v>-1508202.1999999981</v>
      </c>
      <c r="E14" s="20">
        <v>8742309.3200000003</v>
      </c>
    </row>
    <row r="15" spans="1:5" x14ac:dyDescent="0.25">
      <c r="B15" s="19" t="s">
        <v>262</v>
      </c>
      <c r="C15" s="18">
        <v>14149105.23</v>
      </c>
      <c r="D15" s="18">
        <v>13539026.220000001</v>
      </c>
      <c r="E15" s="20">
        <v>15178094.440000001</v>
      </c>
    </row>
    <row r="16" spans="1:5" x14ac:dyDescent="0.25">
      <c r="B16" s="19" t="s">
        <v>263</v>
      </c>
      <c r="C16" s="18">
        <v>0</v>
      </c>
      <c r="D16" s="18">
        <v>0</v>
      </c>
      <c r="E16" s="18">
        <v>0</v>
      </c>
    </row>
    <row r="17" spans="2:5" x14ac:dyDescent="0.25">
      <c r="B17" s="19" t="s">
        <v>264</v>
      </c>
      <c r="C17" s="18">
        <v>-500000</v>
      </c>
      <c r="D17" s="18">
        <v>1469953.17</v>
      </c>
      <c r="E17" s="18">
        <v>1179214.8799999999</v>
      </c>
    </row>
    <row r="18" spans="2:5" x14ac:dyDescent="0.25">
      <c r="B18" s="19" t="s">
        <v>265</v>
      </c>
      <c r="C18" s="18">
        <v>-6360000</v>
      </c>
      <c r="D18" s="18">
        <v>-17666201.059999999</v>
      </c>
      <c r="E18" s="20">
        <v>-7860000</v>
      </c>
    </row>
    <row r="19" spans="2:5" x14ac:dyDescent="0.25">
      <c r="B19" s="19" t="s">
        <v>266</v>
      </c>
      <c r="C19" s="18">
        <v>300000</v>
      </c>
      <c r="D19" s="18">
        <v>1049019.47</v>
      </c>
      <c r="E19" s="20">
        <v>200000</v>
      </c>
    </row>
    <row r="20" spans="2:5" x14ac:dyDescent="0.25">
      <c r="B20" s="19" t="s">
        <v>267</v>
      </c>
      <c r="C20" s="18">
        <v>0</v>
      </c>
      <c r="D20" s="18">
        <v>0</v>
      </c>
      <c r="E20" s="20">
        <v>0</v>
      </c>
    </row>
    <row r="21" spans="2:5" x14ac:dyDescent="0.25">
      <c r="B21" s="19" t="s">
        <v>268</v>
      </c>
      <c r="C21" s="18">
        <v>-100000</v>
      </c>
      <c r="D21" s="18">
        <v>-100000</v>
      </c>
      <c r="E21" s="20">
        <v>-80000</v>
      </c>
    </row>
    <row r="22" spans="2:5" x14ac:dyDescent="0.25">
      <c r="B22" s="19" t="s">
        <v>269</v>
      </c>
      <c r="C22" s="18">
        <v>150000</v>
      </c>
      <c r="D22" s="18">
        <v>200000</v>
      </c>
      <c r="E22" s="20">
        <v>125000</v>
      </c>
    </row>
    <row r="23" spans="2:5" x14ac:dyDescent="0.25">
      <c r="B23" s="19" t="s">
        <v>270</v>
      </c>
      <c r="C23" s="18">
        <v>0</v>
      </c>
      <c r="D23" s="18">
        <v>0</v>
      </c>
      <c r="E23" s="20">
        <v>0</v>
      </c>
    </row>
    <row r="24" spans="2:5" x14ac:dyDescent="0.25">
      <c r="B24" s="19" t="s">
        <v>271</v>
      </c>
      <c r="C24" s="18">
        <v>0</v>
      </c>
      <c r="D24" s="18">
        <v>0</v>
      </c>
      <c r="E24" s="20">
        <v>0</v>
      </c>
    </row>
    <row r="25" spans="2:5" x14ac:dyDescent="0.25">
      <c r="B25" s="19" t="s">
        <v>272</v>
      </c>
      <c r="C25" s="18"/>
      <c r="D25" s="23"/>
      <c r="E25" s="22"/>
    </row>
    <row r="26" spans="2:5" ht="16.5" x14ac:dyDescent="0.25">
      <c r="B26" s="25" t="s">
        <v>273</v>
      </c>
      <c r="C26" s="18">
        <v>62400693.130000003</v>
      </c>
      <c r="D26" s="98">
        <v>22598063.620000012</v>
      </c>
      <c r="E26" s="120">
        <v>26582874.620000005</v>
      </c>
    </row>
    <row r="27" spans="2:5" x14ac:dyDescent="0.25">
      <c r="B27" s="19" t="s">
        <v>274</v>
      </c>
      <c r="C27" s="18"/>
      <c r="D27" s="108">
        <v>100000</v>
      </c>
      <c r="E27" s="108"/>
    </row>
    <row r="28" spans="2:5" x14ac:dyDescent="0.25">
      <c r="B28" s="26" t="s">
        <v>275</v>
      </c>
      <c r="C28" s="61">
        <v>58864019.030000001</v>
      </c>
      <c r="D28" s="178">
        <v>32069429.580000013</v>
      </c>
      <c r="E28" s="108">
        <v>31643339.500000007</v>
      </c>
    </row>
    <row r="29" spans="2:5" x14ac:dyDescent="0.25">
      <c r="B29" s="26" t="s">
        <v>276</v>
      </c>
      <c r="C29" s="61"/>
      <c r="D29" s="178"/>
      <c r="E29" s="108"/>
    </row>
    <row r="30" spans="2:5" x14ac:dyDescent="0.25">
      <c r="B30" s="26" t="s">
        <v>277</v>
      </c>
      <c r="C30" s="61">
        <v>3536674.1000000015</v>
      </c>
      <c r="D30" s="178">
        <v>-9571365.959999999</v>
      </c>
      <c r="E30" s="108">
        <v>-5060464.8800000008</v>
      </c>
    </row>
    <row r="31" spans="2:5" x14ac:dyDescent="0.25">
      <c r="B31" s="26" t="s">
        <v>278</v>
      </c>
      <c r="C31" s="61"/>
      <c r="D31" s="29">
        <v>0</v>
      </c>
      <c r="E31" s="22">
        <v>0</v>
      </c>
    </row>
    <row r="32" spans="2:5" x14ac:dyDescent="0.25">
      <c r="B32" s="26" t="s">
        <v>279</v>
      </c>
      <c r="C32" s="61"/>
      <c r="D32" s="29"/>
      <c r="E32" s="22"/>
    </row>
    <row r="33" spans="2:5" ht="16.5" x14ac:dyDescent="0.25">
      <c r="B33" s="28" t="s">
        <v>280</v>
      </c>
      <c r="C33" s="61">
        <v>-15316284.039999999</v>
      </c>
      <c r="D33" s="61">
        <v>-28062928.039999999</v>
      </c>
      <c r="E33" s="20">
        <v>-20131504.77</v>
      </c>
    </row>
    <row r="34" spans="2:5" x14ac:dyDescent="0.25">
      <c r="B34" s="26" t="s">
        <v>281</v>
      </c>
      <c r="C34" s="61">
        <v>-200000</v>
      </c>
      <c r="D34" s="29">
        <v>-200000</v>
      </c>
      <c r="E34" s="29">
        <v>-125000</v>
      </c>
    </row>
    <row r="35" spans="2:5" x14ac:dyDescent="0.25">
      <c r="B35" s="26" t="s">
        <v>282</v>
      </c>
      <c r="C35" s="61"/>
      <c r="D35" s="29"/>
      <c r="E35" s="22"/>
    </row>
    <row r="36" spans="2:5" x14ac:dyDescent="0.25">
      <c r="B36" s="26" t="s">
        <v>283</v>
      </c>
      <c r="C36" s="61">
        <v>100000</v>
      </c>
      <c r="D36" s="29">
        <v>100000</v>
      </c>
      <c r="E36" s="22">
        <v>80000</v>
      </c>
    </row>
    <row r="37" spans="2:5" x14ac:dyDescent="0.25">
      <c r="B37" s="26" t="s">
        <v>284</v>
      </c>
      <c r="C37" s="62">
        <v>7500</v>
      </c>
      <c r="D37" s="62">
        <v>10747.21</v>
      </c>
      <c r="E37" s="32">
        <v>2500</v>
      </c>
    </row>
    <row r="38" spans="2:5" x14ac:dyDescent="0.25">
      <c r="B38" s="26" t="s">
        <v>285</v>
      </c>
      <c r="C38" s="62">
        <v>-15223784.039999999</v>
      </c>
      <c r="D38" s="193">
        <v>-27973675.25</v>
      </c>
      <c r="E38" s="194">
        <v>-20089004.77</v>
      </c>
    </row>
    <row r="39" spans="2:5" ht="16.5" x14ac:dyDescent="0.25">
      <c r="B39" s="174" t="s">
        <v>286</v>
      </c>
      <c r="C39" s="36">
        <v>67241089.840000004</v>
      </c>
      <c r="D39" s="36">
        <v>10581723.800000012</v>
      </c>
      <c r="E39" s="35">
        <v>22052307.770000007</v>
      </c>
    </row>
    <row r="40" spans="2:5" ht="16.5" x14ac:dyDescent="0.25">
      <c r="B40" s="28"/>
      <c r="C40" s="176"/>
      <c r="D40" s="175"/>
      <c r="E40" s="177"/>
    </row>
    <row r="41" spans="2:5" ht="15.75" x14ac:dyDescent="0.25">
      <c r="B41" s="45" t="s">
        <v>287</v>
      </c>
      <c r="C41" s="61"/>
      <c r="D41" s="27"/>
      <c r="E41" s="16"/>
    </row>
    <row r="42" spans="2:5" ht="16.5" x14ac:dyDescent="0.25">
      <c r="B42" s="28" t="s">
        <v>288</v>
      </c>
      <c r="C42" s="61">
        <v>-115387012.17</v>
      </c>
      <c r="D42" s="61">
        <v>-94678304.929999992</v>
      </c>
      <c r="E42" s="20">
        <v>-86776280.189999998</v>
      </c>
    </row>
    <row r="43" spans="2:5" x14ac:dyDescent="0.25">
      <c r="B43" s="26" t="s">
        <v>289</v>
      </c>
      <c r="C43" s="61">
        <v>-132873.97</v>
      </c>
      <c r="D43" s="29">
        <v>-132873.97</v>
      </c>
      <c r="E43" s="22">
        <v>-120000</v>
      </c>
    </row>
    <row r="44" spans="2:5" x14ac:dyDescent="0.25">
      <c r="B44" s="26" t="s">
        <v>290</v>
      </c>
      <c r="C44" s="61">
        <v>-310000</v>
      </c>
      <c r="D44" s="178">
        <v>-1206496.6000000001</v>
      </c>
      <c r="E44" s="108">
        <v>-410000</v>
      </c>
    </row>
    <row r="45" spans="2:5" x14ac:dyDescent="0.25">
      <c r="B45" s="26" t="s">
        <v>291</v>
      </c>
      <c r="C45" s="61">
        <v>-114444138.2</v>
      </c>
      <c r="D45" s="178">
        <v>-89728934.359999999</v>
      </c>
      <c r="E45" s="108">
        <v>-82996280.189999998</v>
      </c>
    </row>
    <row r="46" spans="2:5" x14ac:dyDescent="0.25">
      <c r="B46" s="26" t="s">
        <v>292</v>
      </c>
      <c r="C46" s="61">
        <v>-500000</v>
      </c>
      <c r="D46" s="178">
        <v>-3610000</v>
      </c>
      <c r="E46" s="108">
        <v>-3250000</v>
      </c>
    </row>
    <row r="47" spans="2:5" x14ac:dyDescent="0.25">
      <c r="B47" s="26" t="s">
        <v>293</v>
      </c>
      <c r="C47" s="61"/>
      <c r="D47" s="178"/>
      <c r="E47" s="108"/>
    </row>
    <row r="48" spans="2:5" x14ac:dyDescent="0.25">
      <c r="B48" s="26" t="s">
        <v>294</v>
      </c>
      <c r="C48" s="61"/>
      <c r="D48" s="178"/>
      <c r="E48" s="108"/>
    </row>
    <row r="49" spans="2:5" ht="16.5" x14ac:dyDescent="0.25">
      <c r="B49" s="28" t="s">
        <v>295</v>
      </c>
      <c r="C49" s="18">
        <v>800000</v>
      </c>
      <c r="D49" s="98">
        <v>7041698.2199999997</v>
      </c>
      <c r="E49" s="120">
        <v>3007790.41</v>
      </c>
    </row>
    <row r="50" spans="2:5" x14ac:dyDescent="0.25">
      <c r="B50" s="26" t="s">
        <v>289</v>
      </c>
      <c r="C50" s="61"/>
      <c r="D50" s="178"/>
      <c r="E50" s="108"/>
    </row>
    <row r="51" spans="2:5" x14ac:dyDescent="0.25">
      <c r="B51" s="26" t="s">
        <v>290</v>
      </c>
      <c r="C51" s="61"/>
      <c r="D51" s="178"/>
      <c r="E51" s="108"/>
    </row>
    <row r="52" spans="2:5" x14ac:dyDescent="0.25">
      <c r="B52" s="26" t="s">
        <v>291</v>
      </c>
      <c r="C52" s="61"/>
      <c r="D52" s="178">
        <v>6186367.2199999997</v>
      </c>
      <c r="E52" s="108">
        <v>1179457.08</v>
      </c>
    </row>
    <row r="53" spans="2:5" x14ac:dyDescent="0.25">
      <c r="B53" s="26" t="s">
        <v>292</v>
      </c>
      <c r="C53" s="61">
        <v>800000</v>
      </c>
      <c r="D53" s="178">
        <v>855331</v>
      </c>
      <c r="E53" s="108">
        <v>1828333.33</v>
      </c>
    </row>
    <row r="54" spans="2:5" x14ac:dyDescent="0.25">
      <c r="B54" s="26" t="s">
        <v>293</v>
      </c>
      <c r="C54" s="61"/>
      <c r="D54" s="29"/>
      <c r="E54" s="22"/>
    </row>
    <row r="55" spans="2:5" x14ac:dyDescent="0.25">
      <c r="B55" s="26" t="s">
        <v>294</v>
      </c>
      <c r="C55" s="61"/>
      <c r="D55" s="29"/>
      <c r="E55" s="22"/>
    </row>
    <row r="56" spans="2:5" ht="16.5" x14ac:dyDescent="0.25">
      <c r="B56" s="174" t="s">
        <v>296</v>
      </c>
      <c r="C56" s="36">
        <v>-114587012.17</v>
      </c>
      <c r="D56" s="36">
        <v>-87636606.709999993</v>
      </c>
      <c r="E56" s="35">
        <v>-83768489.780000001</v>
      </c>
    </row>
    <row r="57" spans="2:5" ht="16.5" x14ac:dyDescent="0.25">
      <c r="B57" s="28"/>
      <c r="C57" s="18"/>
      <c r="D57" s="15"/>
      <c r="E57" s="16"/>
    </row>
    <row r="58" spans="2:5" ht="15.75" x14ac:dyDescent="0.25">
      <c r="B58" s="45" t="s">
        <v>297</v>
      </c>
      <c r="C58" s="18"/>
      <c r="D58" s="15"/>
      <c r="E58" s="16"/>
    </row>
    <row r="59" spans="2:5" ht="16.5" x14ac:dyDescent="0.25">
      <c r="B59" s="28" t="s">
        <v>298</v>
      </c>
      <c r="C59" s="18">
        <v>82332415.650000006</v>
      </c>
      <c r="D59" s="18">
        <v>111421870.43000001</v>
      </c>
      <c r="E59" s="120">
        <v>84244724.900000006</v>
      </c>
    </row>
    <row r="60" spans="2:5" x14ac:dyDescent="0.25">
      <c r="B60" s="26" t="s">
        <v>299</v>
      </c>
      <c r="C60" s="61"/>
      <c r="D60" s="29"/>
      <c r="E60" s="108"/>
    </row>
    <row r="61" spans="2:5" x14ac:dyDescent="0.25">
      <c r="B61" s="26" t="s">
        <v>300</v>
      </c>
      <c r="C61" s="61"/>
      <c r="D61" s="178"/>
      <c r="E61" s="108"/>
    </row>
    <row r="62" spans="2:5" x14ac:dyDescent="0.25">
      <c r="B62" s="26" t="s">
        <v>301</v>
      </c>
      <c r="C62" s="61">
        <v>82332415.650000006</v>
      </c>
      <c r="D62" s="178">
        <v>111421870.43000001</v>
      </c>
      <c r="E62" s="178">
        <v>84244724.900000006</v>
      </c>
    </row>
    <row r="63" spans="2:5" ht="16.5" x14ac:dyDescent="0.25">
      <c r="B63" s="28" t="s">
        <v>302</v>
      </c>
      <c r="C63" s="18">
        <v>-20335690.460000001</v>
      </c>
      <c r="D63" s="18">
        <v>-21293063.649999999</v>
      </c>
      <c r="E63" s="20">
        <v>-500000</v>
      </c>
    </row>
    <row r="64" spans="2:5" x14ac:dyDescent="0.25">
      <c r="B64" s="26" t="s">
        <v>303</v>
      </c>
      <c r="C64" s="18">
        <v>0</v>
      </c>
      <c r="D64" s="18">
        <v>0</v>
      </c>
      <c r="E64" s="20">
        <v>0</v>
      </c>
    </row>
    <row r="65" spans="2:5" x14ac:dyDescent="0.25">
      <c r="B65" s="26" t="s">
        <v>304</v>
      </c>
      <c r="C65" s="61"/>
      <c r="D65" s="29"/>
      <c r="E65" s="22"/>
    </row>
    <row r="66" spans="2:5" x14ac:dyDescent="0.25">
      <c r="B66" s="26" t="s">
        <v>305</v>
      </c>
      <c r="C66" s="61"/>
      <c r="D66" s="29"/>
      <c r="E66" s="22"/>
    </row>
    <row r="67" spans="2:5" x14ac:dyDescent="0.25">
      <c r="B67" s="26" t="s">
        <v>306</v>
      </c>
      <c r="C67" s="61"/>
      <c r="D67" s="29"/>
      <c r="E67" s="22"/>
    </row>
    <row r="68" spans="2:5" x14ac:dyDescent="0.25">
      <c r="B68" s="26" t="s">
        <v>307</v>
      </c>
      <c r="C68" s="18">
        <v>-20335690.460000001</v>
      </c>
      <c r="D68" s="18">
        <v>-21293063.649999999</v>
      </c>
      <c r="E68" s="20">
        <v>-500000</v>
      </c>
    </row>
    <row r="69" spans="2:5" x14ac:dyDescent="0.25">
      <c r="B69" s="26" t="s">
        <v>304</v>
      </c>
      <c r="C69" s="62">
        <v>-20335690.460000001</v>
      </c>
      <c r="D69" s="62">
        <v>-20293063.649999999</v>
      </c>
      <c r="E69" s="22">
        <v>0</v>
      </c>
    </row>
    <row r="70" spans="2:5" x14ac:dyDescent="0.25">
      <c r="B70" s="26" t="s">
        <v>305</v>
      </c>
      <c r="C70" s="61"/>
      <c r="D70" s="29"/>
      <c r="E70" s="22"/>
    </row>
    <row r="71" spans="2:5" x14ac:dyDescent="0.25">
      <c r="B71" s="26" t="s">
        <v>306</v>
      </c>
      <c r="C71" s="61"/>
      <c r="D71" s="29">
        <v>-1000000</v>
      </c>
      <c r="E71" s="29">
        <v>-500000</v>
      </c>
    </row>
    <row r="72" spans="2:5" ht="16.5" x14ac:dyDescent="0.25">
      <c r="B72" s="28" t="s">
        <v>308</v>
      </c>
      <c r="C72" s="18">
        <v>0</v>
      </c>
      <c r="D72" s="18">
        <v>0</v>
      </c>
      <c r="E72" s="20">
        <v>0</v>
      </c>
    </row>
    <row r="73" spans="2:5" x14ac:dyDescent="0.25">
      <c r="B73" s="26" t="s">
        <v>309</v>
      </c>
      <c r="C73" s="61"/>
      <c r="D73" s="29"/>
      <c r="E73" s="22"/>
    </row>
    <row r="74" spans="2:5" x14ac:dyDescent="0.25">
      <c r="B74" s="26" t="s">
        <v>310</v>
      </c>
      <c r="C74" s="61"/>
      <c r="D74" s="29"/>
      <c r="E74" s="22"/>
    </row>
    <row r="75" spans="2:5" ht="16.5" x14ac:dyDescent="0.25">
      <c r="B75" s="174" t="s">
        <v>311</v>
      </c>
      <c r="C75" s="36">
        <v>61996725.190000005</v>
      </c>
      <c r="D75" s="36">
        <v>90128806.780000001</v>
      </c>
      <c r="E75" s="35">
        <v>83744724.900000006</v>
      </c>
    </row>
    <row r="76" spans="2:5" x14ac:dyDescent="0.25">
      <c r="B76" s="26"/>
      <c r="C76" s="33"/>
      <c r="D76" s="31"/>
      <c r="E76" s="179"/>
    </row>
    <row r="77" spans="2:5" ht="15.75" x14ac:dyDescent="0.25">
      <c r="B77" s="180" t="s">
        <v>312</v>
      </c>
      <c r="C77" s="36"/>
      <c r="D77" s="181"/>
      <c r="E77" s="182"/>
    </row>
    <row r="78" spans="2:5" x14ac:dyDescent="0.25">
      <c r="B78" s="26"/>
      <c r="C78" s="40"/>
      <c r="D78" s="38"/>
      <c r="E78" s="183"/>
    </row>
    <row r="79" spans="2:5" ht="34.5" x14ac:dyDescent="0.25">
      <c r="B79" s="184" t="s">
        <v>313</v>
      </c>
      <c r="C79" s="185">
        <v>14650802.860000007</v>
      </c>
      <c r="D79" s="185">
        <v>13073923.87000002</v>
      </c>
      <c r="E79" s="186">
        <v>22028542.890000015</v>
      </c>
    </row>
    <row r="80" spans="2:5" ht="16.5" x14ac:dyDescent="0.25">
      <c r="B80" s="28" t="s">
        <v>314</v>
      </c>
      <c r="C80" s="187">
        <v>45512876.600000001</v>
      </c>
      <c r="D80" s="187">
        <v>57748670.340000004</v>
      </c>
      <c r="E80" s="188">
        <v>70822594.209999993</v>
      </c>
    </row>
    <row r="81" spans="2:5" ht="17.25" thickBot="1" x14ac:dyDescent="0.3">
      <c r="B81" s="189" t="s">
        <v>315</v>
      </c>
      <c r="C81" s="190">
        <v>60163679.459999993</v>
      </c>
      <c r="D81" s="190">
        <v>70822594.209999993</v>
      </c>
      <c r="E81" s="191">
        <v>92851137.099999994</v>
      </c>
    </row>
    <row r="84" spans="2:5" x14ac:dyDescent="0.25">
      <c r="E84" s="192"/>
    </row>
  </sheetData>
  <mergeCells count="1">
    <mergeCell ref="B3:E3"/>
  </mergeCells>
  <conditionalFormatting sqref="C79">
    <cfRule type="cellIs" dxfId="9" priority="7" stopIfTrue="1" operator="notEqual">
      <formula>$C$81-$C$80</formula>
    </cfRule>
  </conditionalFormatting>
  <conditionalFormatting sqref="E69 E43:E46 C47:E48 C61:E61 C70:E70 C73:E74 C34:E34 C43:C46 C71">
    <cfRule type="cellIs" dxfId="8" priority="8" stopIfTrue="1" operator="greaterThan">
      <formula>0</formula>
    </cfRule>
  </conditionalFormatting>
  <conditionalFormatting sqref="E36 E53 C35:E35 C50:E52 C60:E60 C65:E67 C62:E62 C36 C54:E55 C53">
    <cfRule type="cellIs" dxfId="7" priority="9" stopIfTrue="1" operator="lessThan">
      <formula>0</formula>
    </cfRule>
  </conditionalFormatting>
  <conditionalFormatting sqref="D79">
    <cfRule type="cellIs" dxfId="6" priority="10" stopIfTrue="1" operator="notEqual">
      <formula>$D$81-$D$80</formula>
    </cfRule>
  </conditionalFormatting>
  <conditionalFormatting sqref="E79">
    <cfRule type="cellIs" dxfId="5" priority="11" stopIfTrue="1" operator="notEqual">
      <formula>$E$81-$E$80</formula>
    </cfRule>
  </conditionalFormatting>
  <conditionalFormatting sqref="D36">
    <cfRule type="cellIs" dxfId="4" priority="5" stopIfTrue="1" operator="lessThan">
      <formula>0</formula>
    </cfRule>
  </conditionalFormatting>
  <conditionalFormatting sqref="D43:D46">
    <cfRule type="cellIs" dxfId="3" priority="4" stopIfTrue="1" operator="greaterThan">
      <formula>0</formula>
    </cfRule>
  </conditionalFormatting>
  <conditionalFormatting sqref="D53">
    <cfRule type="cellIs" dxfId="2" priority="3" stopIfTrue="1" operator="lessThan">
      <formula>0</formula>
    </cfRule>
  </conditionalFormatting>
  <conditionalFormatting sqref="D71">
    <cfRule type="cellIs" dxfId="1" priority="2" stopIfTrue="1" operator="greaterThan">
      <formula>0</formula>
    </cfRule>
  </conditionalFormatting>
  <conditionalFormatting sqref="E71">
    <cfRule type="cellIs" dxfId="0" priority="1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0"/>
  <sheetViews>
    <sheetView tabSelected="1" workbookViewId="0">
      <selection activeCell="Q14" sqref="Q14"/>
    </sheetView>
  </sheetViews>
  <sheetFormatPr baseColWidth="10" defaultRowHeight="15" x14ac:dyDescent="0.25"/>
  <cols>
    <col min="2" max="2" width="34.85546875" customWidth="1"/>
    <col min="4" max="4" width="18" bestFit="1" customWidth="1"/>
    <col min="5" max="5" width="13.28515625" customWidth="1"/>
    <col min="7" max="7" width="16.85546875" customWidth="1"/>
    <col min="8" max="8" width="15.85546875" bestFit="1" customWidth="1"/>
    <col min="10" max="10" width="18" bestFit="1" customWidth="1"/>
    <col min="11" max="11" width="13" bestFit="1" customWidth="1"/>
    <col min="13" max="13" width="13" bestFit="1" customWidth="1"/>
    <col min="14" max="14" width="15.85546875" bestFit="1" customWidth="1"/>
  </cols>
  <sheetData>
    <row r="1" spans="2:15" ht="15.75" thickBot="1" x14ac:dyDescent="0.3"/>
    <row r="2" spans="2:15" ht="19.5" thickTop="1" thickBot="1" x14ac:dyDescent="0.3">
      <c r="B2" s="121" t="s">
        <v>1</v>
      </c>
      <c r="G2" s="122" t="s">
        <v>316</v>
      </c>
      <c r="O2" s="123" t="s">
        <v>317</v>
      </c>
    </row>
    <row r="3" spans="2:15" ht="16.5" thickTop="1" x14ac:dyDescent="0.25">
      <c r="B3" s="121" t="s">
        <v>3</v>
      </c>
    </row>
    <row r="4" spans="2:15" ht="15.75" x14ac:dyDescent="0.25">
      <c r="B4" s="121" t="s">
        <v>4</v>
      </c>
      <c r="C4" s="121"/>
      <c r="D4" s="121"/>
      <c r="E4" s="121"/>
      <c r="F4" s="121"/>
      <c r="G4" s="121"/>
      <c r="H4" s="121"/>
    </row>
    <row r="5" spans="2:15" ht="15.75" x14ac:dyDescent="0.25">
      <c r="B5" s="121" t="s">
        <v>5</v>
      </c>
      <c r="C5" s="121"/>
      <c r="D5" s="121"/>
      <c r="E5" s="121"/>
      <c r="F5" s="121"/>
      <c r="G5" s="121"/>
      <c r="H5" s="121"/>
      <c r="M5" s="121"/>
    </row>
    <row r="6" spans="2:15" ht="15.75" thickBot="1" x14ac:dyDescent="0.3">
      <c r="B6" s="195"/>
      <c r="C6" s="195"/>
      <c r="D6" s="195"/>
      <c r="E6" s="195"/>
      <c r="F6" s="195"/>
      <c r="H6" s="195"/>
      <c r="I6" s="196"/>
      <c r="J6" s="197"/>
      <c r="K6" s="197"/>
      <c r="L6" s="197"/>
      <c r="M6" s="195"/>
      <c r="N6" s="197"/>
    </row>
    <row r="7" spans="2:15" ht="15.75" x14ac:dyDescent="0.25">
      <c r="B7" s="198" t="s">
        <v>318</v>
      </c>
      <c r="C7" s="199" t="s">
        <v>319</v>
      </c>
      <c r="D7" s="261" t="s">
        <v>320</v>
      </c>
      <c r="E7" s="262"/>
      <c r="F7" s="262"/>
      <c r="G7" s="262"/>
      <c r="H7" s="263"/>
      <c r="I7" s="199" t="s">
        <v>319</v>
      </c>
      <c r="J7" s="261" t="s">
        <v>321</v>
      </c>
      <c r="K7" s="262"/>
      <c r="L7" s="262"/>
      <c r="M7" s="262"/>
      <c r="N7" s="263"/>
      <c r="O7" s="126" t="s">
        <v>322</v>
      </c>
    </row>
    <row r="8" spans="2:15" ht="16.5" thickBot="1" x14ac:dyDescent="0.3">
      <c r="B8" s="200" t="s">
        <v>323</v>
      </c>
      <c r="C8" s="201" t="s">
        <v>324</v>
      </c>
      <c r="D8" s="202" t="s">
        <v>325</v>
      </c>
      <c r="E8" s="203" t="s">
        <v>326</v>
      </c>
      <c r="F8" s="203" t="s">
        <v>327</v>
      </c>
      <c r="G8" s="203" t="s">
        <v>328</v>
      </c>
      <c r="H8" s="204" t="s">
        <v>329</v>
      </c>
      <c r="I8" s="205" t="s">
        <v>330</v>
      </c>
      <c r="J8" s="202" t="s">
        <v>325</v>
      </c>
      <c r="K8" s="203" t="s">
        <v>326</v>
      </c>
      <c r="L8" s="203" t="s">
        <v>327</v>
      </c>
      <c r="M8" s="203" t="s">
        <v>328</v>
      </c>
      <c r="N8" s="204" t="s">
        <v>331</v>
      </c>
      <c r="O8" s="129" t="s">
        <v>332</v>
      </c>
    </row>
    <row r="9" spans="2:15" ht="15.75" thickTop="1" x14ac:dyDescent="0.25">
      <c r="B9" s="206" t="s">
        <v>333</v>
      </c>
      <c r="C9" s="207">
        <v>2</v>
      </c>
      <c r="D9" s="208">
        <v>194298.03</v>
      </c>
      <c r="E9" s="208"/>
      <c r="F9" s="208"/>
      <c r="G9" s="208">
        <v>30281.54</v>
      </c>
      <c r="H9" s="209">
        <f t="shared" ref="H9:H19" si="0">ROUND(SUM(D9:G9),2)</f>
        <v>224579.57</v>
      </c>
      <c r="I9" s="207">
        <v>2</v>
      </c>
      <c r="J9" s="208">
        <v>192564.94</v>
      </c>
      <c r="K9" s="208"/>
      <c r="L9" s="208"/>
      <c r="M9" s="208">
        <v>30281.54</v>
      </c>
      <c r="N9" s="210">
        <f t="shared" ref="N9:N19" si="1">SUM(J9:M9)</f>
        <v>222846.48</v>
      </c>
      <c r="O9" s="211">
        <f t="shared" ref="O9:O23" si="2">IF(H9=0," ",(H9/N9)-1)</f>
        <v>7.7770579997493705E-3</v>
      </c>
    </row>
    <row r="10" spans="2:15" x14ac:dyDescent="0.25">
      <c r="B10" s="206" t="s">
        <v>334</v>
      </c>
      <c r="C10" s="207">
        <v>6</v>
      </c>
      <c r="D10" s="208">
        <v>517072.52</v>
      </c>
      <c r="E10" s="208">
        <v>30260.57</v>
      </c>
      <c r="F10" s="208"/>
      <c r="G10" s="208">
        <v>87914.16</v>
      </c>
      <c r="H10" s="142">
        <f t="shared" si="0"/>
        <v>635247.25</v>
      </c>
      <c r="I10" s="207">
        <v>6</v>
      </c>
      <c r="J10" s="208">
        <v>512460.37</v>
      </c>
      <c r="K10" s="208">
        <v>29990.65</v>
      </c>
      <c r="L10" s="208"/>
      <c r="M10" s="208">
        <v>87914.16</v>
      </c>
      <c r="N10" s="210">
        <f t="shared" si="1"/>
        <v>630365.18000000005</v>
      </c>
      <c r="O10" s="212">
        <f t="shared" si="2"/>
        <v>7.7448281645251527E-3</v>
      </c>
    </row>
    <row r="11" spans="2:15" x14ac:dyDescent="0.25">
      <c r="B11" s="206" t="s">
        <v>335</v>
      </c>
      <c r="C11" s="207">
        <v>20</v>
      </c>
      <c r="D11" s="208">
        <v>1121774.0800000001</v>
      </c>
      <c r="E11" s="208">
        <v>76871.399999999994</v>
      </c>
      <c r="F11" s="208"/>
      <c r="G11" s="208">
        <v>293047.2</v>
      </c>
      <c r="H11" s="142">
        <f t="shared" si="0"/>
        <v>1491692.68</v>
      </c>
      <c r="I11" s="207">
        <v>20</v>
      </c>
      <c r="J11" s="208">
        <v>1111768.17</v>
      </c>
      <c r="K11" s="208">
        <v>76185.73</v>
      </c>
      <c r="L11" s="208"/>
      <c r="M11" s="208">
        <v>293047.2</v>
      </c>
      <c r="N11" s="210">
        <f t="shared" si="1"/>
        <v>1481001.0999999999</v>
      </c>
      <c r="O11" s="212">
        <f t="shared" si="2"/>
        <v>7.219157365919715E-3</v>
      </c>
    </row>
    <row r="12" spans="2:15" x14ac:dyDescent="0.25">
      <c r="B12" s="206" t="s">
        <v>336</v>
      </c>
      <c r="C12" s="207">
        <v>11</v>
      </c>
      <c r="D12" s="208">
        <v>517957.16</v>
      </c>
      <c r="E12" s="208">
        <v>53401.919999999998</v>
      </c>
      <c r="F12" s="208"/>
      <c r="G12" s="208">
        <v>175828.32</v>
      </c>
      <c r="H12" s="142">
        <f t="shared" si="0"/>
        <v>747187.4</v>
      </c>
      <c r="I12" s="207">
        <v>12</v>
      </c>
      <c r="J12" s="208">
        <v>540609.44999999995</v>
      </c>
      <c r="K12" s="208">
        <v>53225.01</v>
      </c>
      <c r="L12" s="208"/>
      <c r="M12" s="208">
        <v>175828.32</v>
      </c>
      <c r="N12" s="210">
        <f t="shared" si="1"/>
        <v>769662.78</v>
      </c>
      <c r="O12" s="212">
        <f t="shared" si="2"/>
        <v>-2.920159397600075E-2</v>
      </c>
    </row>
    <row r="13" spans="2:15" x14ac:dyDescent="0.25">
      <c r="B13" s="206" t="s">
        <v>337</v>
      </c>
      <c r="C13" s="207">
        <v>40</v>
      </c>
      <c r="D13" s="208">
        <v>1734191.06</v>
      </c>
      <c r="E13" s="208">
        <v>182277.46</v>
      </c>
      <c r="F13" s="208"/>
      <c r="G13" s="208">
        <v>615399.11999999988</v>
      </c>
      <c r="H13" s="142">
        <f t="shared" si="0"/>
        <v>2531867.64</v>
      </c>
      <c r="I13" s="207">
        <v>42</v>
      </c>
      <c r="J13" s="208">
        <v>1764367.13</v>
      </c>
      <c r="K13" s="208">
        <v>181359.32</v>
      </c>
      <c r="L13" s="208"/>
      <c r="M13" s="208">
        <v>615399.11999999988</v>
      </c>
      <c r="N13" s="210">
        <f t="shared" si="1"/>
        <v>2561125.5699999998</v>
      </c>
      <c r="O13" s="212">
        <f t="shared" si="2"/>
        <v>-1.1423856113388364E-2</v>
      </c>
    </row>
    <row r="14" spans="2:15" x14ac:dyDescent="0.25">
      <c r="B14" s="206" t="s">
        <v>338</v>
      </c>
      <c r="C14" s="207">
        <v>40</v>
      </c>
      <c r="D14" s="208">
        <v>1518706.68</v>
      </c>
      <c r="E14" s="208">
        <v>151829.95000000001</v>
      </c>
      <c r="F14" s="208"/>
      <c r="G14" s="208">
        <v>586094.4</v>
      </c>
      <c r="H14" s="142">
        <f t="shared" si="0"/>
        <v>2256631.0299999998</v>
      </c>
      <c r="I14" s="207">
        <v>40</v>
      </c>
      <c r="J14" s="208">
        <v>1505160.24</v>
      </c>
      <c r="K14" s="208">
        <v>150475.67000000001</v>
      </c>
      <c r="L14" s="208"/>
      <c r="M14" s="208">
        <v>586094.4</v>
      </c>
      <c r="N14" s="210">
        <f t="shared" si="1"/>
        <v>2241730.31</v>
      </c>
      <c r="O14" s="212">
        <f t="shared" si="2"/>
        <v>6.6469726235711679E-3</v>
      </c>
    </row>
    <row r="15" spans="2:15" x14ac:dyDescent="0.25">
      <c r="B15" s="206" t="s">
        <v>339</v>
      </c>
      <c r="C15" s="207">
        <v>36</v>
      </c>
      <c r="D15" s="208">
        <v>1185487.45</v>
      </c>
      <c r="E15" s="208">
        <v>153155.97</v>
      </c>
      <c r="F15" s="208"/>
      <c r="G15" s="208">
        <v>401593.03</v>
      </c>
      <c r="H15" s="142">
        <f t="shared" si="0"/>
        <v>1740236.45</v>
      </c>
      <c r="I15" s="207">
        <v>36</v>
      </c>
      <c r="J15" s="208">
        <v>1174913.23</v>
      </c>
      <c r="K15" s="208">
        <v>151789.85999999999</v>
      </c>
      <c r="L15" s="208"/>
      <c r="M15" s="208">
        <v>398010.93</v>
      </c>
      <c r="N15" s="210">
        <f t="shared" si="1"/>
        <v>1724714.0199999998</v>
      </c>
      <c r="O15" s="212">
        <f t="shared" si="2"/>
        <v>9.0000022148599701E-3</v>
      </c>
    </row>
    <row r="16" spans="2:15" x14ac:dyDescent="0.25">
      <c r="B16" s="206" t="s">
        <v>340</v>
      </c>
      <c r="C16" s="207">
        <v>52</v>
      </c>
      <c r="D16" s="208">
        <v>1539083.11</v>
      </c>
      <c r="E16" s="208">
        <v>220426.23999999999</v>
      </c>
      <c r="F16" s="208"/>
      <c r="G16" s="208">
        <v>527852.81000000006</v>
      </c>
      <c r="H16" s="142">
        <f t="shared" si="0"/>
        <v>2287362.16</v>
      </c>
      <c r="I16" s="207">
        <v>53</v>
      </c>
      <c r="J16" s="208">
        <v>1540109.25</v>
      </c>
      <c r="K16" s="208">
        <v>218813.96</v>
      </c>
      <c r="L16" s="208"/>
      <c r="M16" s="208">
        <v>527676.96</v>
      </c>
      <c r="N16" s="210">
        <f t="shared" si="1"/>
        <v>2286600.17</v>
      </c>
      <c r="O16" s="212">
        <f t="shared" si="2"/>
        <v>3.3324146914592845E-4</v>
      </c>
    </row>
    <row r="17" spans="2:15" x14ac:dyDescent="0.25">
      <c r="B17" s="206" t="s">
        <v>341</v>
      </c>
      <c r="C17" s="207">
        <v>69</v>
      </c>
      <c r="D17" s="208">
        <v>1688908.38</v>
      </c>
      <c r="E17" s="208">
        <v>294573.13</v>
      </c>
      <c r="F17" s="208"/>
      <c r="G17" s="208">
        <v>595044.44999999995</v>
      </c>
      <c r="H17" s="142">
        <f t="shared" si="0"/>
        <v>2578525.96</v>
      </c>
      <c r="I17" s="207">
        <v>70</v>
      </c>
      <c r="J17" s="208">
        <v>1685510.11</v>
      </c>
      <c r="K17" s="208">
        <v>292353.91999999998</v>
      </c>
      <c r="L17" s="208"/>
      <c r="M17" s="208">
        <v>593359.21</v>
      </c>
      <c r="N17" s="210">
        <f t="shared" si="1"/>
        <v>2571223.2400000002</v>
      </c>
      <c r="O17" s="212">
        <f t="shared" si="2"/>
        <v>2.8401734576728455E-3</v>
      </c>
    </row>
    <row r="18" spans="2:15" x14ac:dyDescent="0.25">
      <c r="B18" s="206" t="s">
        <v>342</v>
      </c>
      <c r="C18" s="207">
        <v>20</v>
      </c>
      <c r="D18" s="208">
        <v>426201.76</v>
      </c>
      <c r="E18" s="208">
        <v>31844.48</v>
      </c>
      <c r="F18" s="208"/>
      <c r="G18" s="208">
        <v>137413.87</v>
      </c>
      <c r="H18" s="142">
        <f t="shared" si="0"/>
        <v>595460.11</v>
      </c>
      <c r="I18" s="207">
        <v>20</v>
      </c>
      <c r="J18" s="208">
        <v>422400.15</v>
      </c>
      <c r="K18" s="208">
        <v>31560.43</v>
      </c>
      <c r="L18" s="208"/>
      <c r="M18" s="208">
        <v>136188.18</v>
      </c>
      <c r="N18" s="210">
        <f t="shared" si="1"/>
        <v>590148.76</v>
      </c>
      <c r="O18" s="212">
        <f t="shared" si="2"/>
        <v>9.000018910486185E-3</v>
      </c>
    </row>
    <row r="19" spans="2:15" x14ac:dyDescent="0.25">
      <c r="B19" s="206" t="s">
        <v>343</v>
      </c>
      <c r="C19" s="207">
        <v>4</v>
      </c>
      <c r="D19" s="208">
        <v>78754.41</v>
      </c>
      <c r="E19" s="208">
        <v>11587.54</v>
      </c>
      <c r="F19" s="208"/>
      <c r="G19" s="208">
        <v>27102.59</v>
      </c>
      <c r="H19" s="142">
        <f t="shared" si="0"/>
        <v>117444.54</v>
      </c>
      <c r="I19" s="207">
        <v>4</v>
      </c>
      <c r="J19" s="208">
        <v>78051.960000000006</v>
      </c>
      <c r="K19" s="208">
        <v>11484.19</v>
      </c>
      <c r="L19" s="208"/>
      <c r="M19" s="208">
        <v>26860.84</v>
      </c>
      <c r="N19" s="210">
        <f t="shared" si="1"/>
        <v>116396.99</v>
      </c>
      <c r="O19" s="212">
        <f t="shared" si="2"/>
        <v>8.9998031736042705E-3</v>
      </c>
    </row>
    <row r="20" spans="2:15" x14ac:dyDescent="0.25">
      <c r="B20" s="206"/>
      <c r="C20" s="213"/>
      <c r="D20" s="143"/>
      <c r="E20" s="143"/>
      <c r="F20" s="143"/>
      <c r="G20" s="143"/>
      <c r="H20" s="142">
        <f t="shared" ref="H20:H22" si="3">SUM(D20:G20)</f>
        <v>0</v>
      </c>
      <c r="I20" s="214"/>
      <c r="J20" s="143"/>
      <c r="K20" s="143"/>
      <c r="L20" s="143"/>
      <c r="M20" s="143"/>
      <c r="N20" s="142">
        <f t="shared" ref="N20:N22" si="4">SUM(J20:M20)</f>
        <v>0</v>
      </c>
      <c r="O20" s="212" t="str">
        <f t="shared" si="2"/>
        <v xml:space="preserve"> </v>
      </c>
    </row>
    <row r="21" spans="2:15" x14ac:dyDescent="0.25">
      <c r="B21" s="206"/>
      <c r="C21" s="213"/>
      <c r="D21" s="143"/>
      <c r="E21" s="143"/>
      <c r="F21" s="143"/>
      <c r="G21" s="143"/>
      <c r="H21" s="142">
        <f t="shared" si="3"/>
        <v>0</v>
      </c>
      <c r="I21" s="214"/>
      <c r="J21" s="143"/>
      <c r="K21" s="143"/>
      <c r="L21" s="143"/>
      <c r="M21" s="143"/>
      <c r="N21" s="142">
        <f t="shared" si="4"/>
        <v>0</v>
      </c>
      <c r="O21" s="212" t="str">
        <f t="shared" si="2"/>
        <v xml:space="preserve"> </v>
      </c>
    </row>
    <row r="22" spans="2:15" x14ac:dyDescent="0.25">
      <c r="B22" s="206"/>
      <c r="C22" s="215"/>
      <c r="D22" s="216"/>
      <c r="E22" s="216"/>
      <c r="F22" s="216"/>
      <c r="G22" s="216"/>
      <c r="H22" s="217">
        <f t="shared" si="3"/>
        <v>0</v>
      </c>
      <c r="I22" s="216"/>
      <c r="J22" s="216"/>
      <c r="K22" s="216"/>
      <c r="L22" s="216"/>
      <c r="M22" s="216"/>
      <c r="N22" s="217">
        <f t="shared" si="4"/>
        <v>0</v>
      </c>
      <c r="O22" s="218" t="str">
        <f t="shared" si="2"/>
        <v xml:space="preserve"> </v>
      </c>
    </row>
    <row r="23" spans="2:15" x14ac:dyDescent="0.25">
      <c r="B23" s="219" t="s">
        <v>344</v>
      </c>
      <c r="C23" s="220">
        <f t="shared" ref="C23:N23" si="5">SUM(C9:C22)</f>
        <v>300</v>
      </c>
      <c r="D23" s="221">
        <f>ROUND(SUM(D9:D22),2)</f>
        <v>10522434.640000001</v>
      </c>
      <c r="E23" s="221">
        <f>ROUND(SUM(E9:E22),2)</f>
        <v>1206228.6599999999</v>
      </c>
      <c r="F23" s="221">
        <f t="shared" si="5"/>
        <v>0</v>
      </c>
      <c r="G23" s="221">
        <f>ROUND(SUM(G9:G22),2)</f>
        <v>3477571.49</v>
      </c>
      <c r="H23" s="222">
        <f>ROUND(SUM(H9:H22),2)</f>
        <v>15206234.789999999</v>
      </c>
      <c r="I23" s="223">
        <f t="shared" si="5"/>
        <v>305</v>
      </c>
      <c r="J23" s="224">
        <f t="shared" si="5"/>
        <v>10527915</v>
      </c>
      <c r="K23" s="224">
        <f t="shared" si="5"/>
        <v>1197238.7399999998</v>
      </c>
      <c r="L23" s="224">
        <f t="shared" si="5"/>
        <v>0</v>
      </c>
      <c r="M23" s="224">
        <f t="shared" si="5"/>
        <v>3470660.86</v>
      </c>
      <c r="N23" s="222">
        <f t="shared" si="5"/>
        <v>15195814.6</v>
      </c>
      <c r="O23" s="225">
        <f t="shared" si="2"/>
        <v>6.8572763450269747E-4</v>
      </c>
    </row>
    <row r="24" spans="2:15" ht="15.75" x14ac:dyDescent="0.25">
      <c r="B24" s="226"/>
      <c r="C24" s="227" t="s">
        <v>345</v>
      </c>
      <c r="D24" s="228"/>
      <c r="E24" s="228"/>
      <c r="F24" s="228"/>
      <c r="G24" s="228"/>
      <c r="H24" s="229">
        <v>400000</v>
      </c>
      <c r="I24" s="230" t="s">
        <v>345</v>
      </c>
      <c r="J24" s="228"/>
      <c r="K24" s="231"/>
      <c r="L24" s="232"/>
      <c r="M24" s="232"/>
      <c r="N24" s="229">
        <v>400000</v>
      </c>
      <c r="O24" s="233">
        <f>IF(H24=0," ",(H24/N24)-1)</f>
        <v>0</v>
      </c>
    </row>
    <row r="25" spans="2:15" ht="15.75" x14ac:dyDescent="0.25">
      <c r="B25" s="234"/>
      <c r="C25" s="235"/>
      <c r="D25" s="235"/>
      <c r="E25" s="235"/>
      <c r="F25" s="235"/>
      <c r="G25" s="235"/>
      <c r="H25" s="236"/>
      <c r="I25" s="237"/>
      <c r="J25" s="238"/>
      <c r="K25" s="235"/>
      <c r="L25" s="237"/>
      <c r="M25" s="239"/>
      <c r="N25" s="240"/>
      <c r="O25" s="241"/>
    </row>
    <row r="26" spans="2:15" ht="18.75" thickBot="1" x14ac:dyDescent="0.3">
      <c r="B26" s="242" t="s">
        <v>344</v>
      </c>
      <c r="C26" s="243"/>
      <c r="D26" s="244"/>
      <c r="E26" s="244"/>
      <c r="F26" s="244"/>
      <c r="G26" s="245"/>
      <c r="H26" s="246">
        <f>H23+H24</f>
        <v>15606234.789999999</v>
      </c>
      <c r="I26" s="247"/>
      <c r="J26" s="248"/>
      <c r="K26" s="248"/>
      <c r="L26" s="248"/>
      <c r="M26" s="249"/>
      <c r="N26" s="246">
        <f>N23+N24</f>
        <v>15595814.6</v>
      </c>
      <c r="O26" s="250">
        <f>IF(H26=0," ",(H26/N26)-1)</f>
        <v>6.6814015601335264E-4</v>
      </c>
    </row>
    <row r="28" spans="2:15" x14ac:dyDescent="0.25">
      <c r="B28" t="s">
        <v>346</v>
      </c>
    </row>
    <row r="29" spans="2:15" x14ac:dyDescent="0.25">
      <c r="B29" t="s">
        <v>347</v>
      </c>
    </row>
    <row r="30" spans="2:15" x14ac:dyDescent="0.25">
      <c r="B30" t="s">
        <v>348</v>
      </c>
    </row>
  </sheetData>
  <mergeCells count="2">
    <mergeCell ref="D7:H7"/>
    <mergeCell ref="J7:N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039BF1ACBB6242A05B31B4AC89E4F2" ma:contentTypeVersion="2" ma:contentTypeDescription="Crear nuevo documento." ma:contentTypeScope="" ma:versionID="2ac57bf128d97e3e13e46525a1e254a2">
  <xsd:schema xmlns:xsd="http://www.w3.org/2001/XMLSchema" xmlns:xs="http://www.w3.org/2001/XMLSchema" xmlns:p="http://schemas.microsoft.com/office/2006/metadata/properties" xmlns:ns1="e4b73361-b4d4-4302-9756-11c2890942ab" xmlns:ns2="http://schemas.microsoft.com/sharepoint/v3" targetNamespace="http://schemas.microsoft.com/office/2006/metadata/properties" ma:root="true" ma:fieldsID="273ea9e25f12efe34d3b73f8c338c818" ns1:_="" ns2:_="">
    <xsd:import namespace="e4b73361-b4d4-4302-9756-11c2890942ab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73361-b4d4-4302-9756-11c2890942ab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decimals="0" ma:internalName="Orden" ma:percentage="FALSE">
      <xsd:simpleType>
        <xsd:restriction base="dms:Number"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e4b73361-b4d4-4302-9756-11c2890942ab">20</Orden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67CE023-786A-4452-AE77-28FC362C24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b73361-b4d4-4302-9756-11c2890942ab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3FFF86-A5DD-4E4F-8920-B6ADB2A0B6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243FBA-AC60-49FF-8FE8-3798E8314D1F}">
  <ds:schemaRefs>
    <ds:schemaRef ds:uri="http://purl.org/dc/elements/1.1/"/>
    <ds:schemaRef ds:uri="e4b73361-b4d4-4302-9756-11c2890942ab"/>
    <ds:schemaRef ds:uri="http://schemas.microsoft.com/office/infopath/2007/PartnerControls"/>
    <ds:schemaRef ds:uri="http://www.w3.org/XML/1998/namespace"/>
    <ds:schemaRef ds:uri="http://purl.org/dc/terms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pyg</vt:lpstr>
      <vt:lpstr>balance</vt:lpstr>
      <vt:lpstr>paif</vt:lpstr>
      <vt:lpstr>efe</vt:lpstr>
      <vt:lpstr>personal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2025-02-12T11:39:11Z</dcterms:created>
  <dcterms:modified xsi:type="dcterms:W3CDTF">2025-02-12T11:39:27Z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0x010100A2039BF1ACBB6242A05B31B4AC89E4F2</vt:lpwstr>
  </property>
</Properties>
</file>