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00"/>
  </bookViews>
  <sheets>
    <sheet name="PyG" sheetId="1" r:id="rId1"/>
    <sheet name="PAIF" sheetId="2" r:id="rId2"/>
    <sheet name="BALANCE" sheetId="3" r:id="rId3"/>
    <sheet name="EFE" sheetId="4" r:id="rId4"/>
    <sheet name="PERSONA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5" l="1"/>
  <c r="O22" i="5"/>
  <c r="M21" i="5"/>
  <c r="L21" i="5"/>
  <c r="J21" i="5"/>
  <c r="G21" i="5"/>
  <c r="F21" i="5"/>
  <c r="E21" i="5"/>
  <c r="D21" i="5"/>
  <c r="C21" i="5"/>
  <c r="N20" i="5"/>
  <c r="H20" i="5"/>
  <c r="N19" i="5"/>
  <c r="H19" i="5"/>
  <c r="O19" i="5" s="1"/>
  <c r="N18" i="5"/>
  <c r="H18" i="5"/>
  <c r="N17" i="5"/>
  <c r="H17" i="5"/>
  <c r="O17" i="5" s="1"/>
  <c r="N16" i="5"/>
  <c r="H16" i="5"/>
  <c r="K21" i="5"/>
  <c r="I21" i="5"/>
  <c r="H15" i="5"/>
  <c r="N14" i="5"/>
  <c r="H14" i="5"/>
  <c r="O14" i="5" s="1"/>
  <c r="N13" i="5"/>
  <c r="H13" i="5"/>
  <c r="N12" i="5"/>
  <c r="H12" i="5"/>
  <c r="O12" i="5" s="1"/>
  <c r="N11" i="5"/>
  <c r="H11" i="5"/>
  <c r="O11" i="5" s="1"/>
  <c r="N10" i="5"/>
  <c r="H10" i="5"/>
  <c r="E79" i="4"/>
  <c r="E71" i="4"/>
  <c r="D71" i="4"/>
  <c r="C71" i="4"/>
  <c r="E67" i="4"/>
  <c r="E62" i="4" s="1"/>
  <c r="D67" i="4"/>
  <c r="C67" i="4"/>
  <c r="E63" i="4"/>
  <c r="D63" i="4"/>
  <c r="C63" i="4"/>
  <c r="E58" i="4"/>
  <c r="D58" i="4"/>
  <c r="D74" i="4" s="1"/>
  <c r="C58" i="4"/>
  <c r="E48" i="4"/>
  <c r="D48" i="4"/>
  <c r="C48" i="4"/>
  <c r="E41" i="4"/>
  <c r="D41" i="4"/>
  <c r="D55" i="4" s="1"/>
  <c r="C41" i="4"/>
  <c r="E32" i="4"/>
  <c r="D32" i="4"/>
  <c r="C32" i="4"/>
  <c r="E25" i="4"/>
  <c r="D25" i="4"/>
  <c r="C25" i="4"/>
  <c r="D13" i="4"/>
  <c r="E13" i="4"/>
  <c r="I60" i="3"/>
  <c r="I51" i="3" s="1"/>
  <c r="H60" i="3"/>
  <c r="G60" i="3"/>
  <c r="C58" i="3"/>
  <c r="E58" i="3"/>
  <c r="D58" i="3"/>
  <c r="I54" i="3"/>
  <c r="H54" i="3"/>
  <c r="G54" i="3"/>
  <c r="E50" i="3"/>
  <c r="D50" i="3"/>
  <c r="C50" i="3"/>
  <c r="E44" i="3"/>
  <c r="E42" i="3" s="1"/>
  <c r="I42" i="3"/>
  <c r="H42" i="3"/>
  <c r="G42" i="3"/>
  <c r="D42" i="3"/>
  <c r="C42" i="3"/>
  <c r="I37" i="3"/>
  <c r="H37" i="3"/>
  <c r="G37" i="3"/>
  <c r="G36" i="3" s="1"/>
  <c r="E35" i="3"/>
  <c r="D35" i="3"/>
  <c r="D33" i="3" s="1"/>
  <c r="C35" i="3"/>
  <c r="H32" i="3"/>
  <c r="H31" i="3" s="1"/>
  <c r="G32" i="3"/>
  <c r="E31" i="3"/>
  <c r="I26" i="3"/>
  <c r="H26" i="3"/>
  <c r="G26" i="3"/>
  <c r="E24" i="3"/>
  <c r="D24" i="3"/>
  <c r="C24" i="3"/>
  <c r="I21" i="3"/>
  <c r="I19" i="3" s="1"/>
  <c r="E21" i="3"/>
  <c r="D21" i="3"/>
  <c r="H19" i="3"/>
  <c r="G19" i="3"/>
  <c r="I18" i="3"/>
  <c r="C18" i="3"/>
  <c r="C17" i="3" s="1"/>
  <c r="E17" i="3"/>
  <c r="D17" i="3"/>
  <c r="H16" i="3"/>
  <c r="G16" i="3"/>
  <c r="H13" i="3"/>
  <c r="H12" i="3" s="1"/>
  <c r="I12" i="3"/>
  <c r="G12" i="3"/>
  <c r="E11" i="3"/>
  <c r="D11" i="3"/>
  <c r="C11" i="3"/>
  <c r="I8" i="3"/>
  <c r="H8" i="3"/>
  <c r="G8" i="3"/>
  <c r="E44" i="2"/>
  <c r="D44" i="2"/>
  <c r="C44" i="2"/>
  <c r="I39" i="2"/>
  <c r="H39" i="2"/>
  <c r="G39" i="2"/>
  <c r="E39" i="2"/>
  <c r="D39" i="2"/>
  <c r="C39" i="2"/>
  <c r="I34" i="2"/>
  <c r="H34" i="2"/>
  <c r="G34" i="2"/>
  <c r="I30" i="2"/>
  <c r="I29" i="2" s="1"/>
  <c r="H29" i="2"/>
  <c r="G29" i="2"/>
  <c r="E26" i="2"/>
  <c r="D26" i="2"/>
  <c r="C26" i="2"/>
  <c r="I25" i="2"/>
  <c r="H25" i="2"/>
  <c r="G25" i="2"/>
  <c r="E23" i="2"/>
  <c r="D23" i="2"/>
  <c r="C23" i="2"/>
  <c r="G11" i="2"/>
  <c r="G48" i="2" s="1"/>
  <c r="E17" i="2"/>
  <c r="D17" i="2"/>
  <c r="C17" i="2"/>
  <c r="I11" i="2"/>
  <c r="I48" i="2" s="1"/>
  <c r="H11" i="2"/>
  <c r="H48" i="2" s="1"/>
  <c r="D50" i="2" s="1"/>
  <c r="E12" i="2"/>
  <c r="E11" i="2" s="1"/>
  <c r="E48" i="2" s="1"/>
  <c r="D12" i="2"/>
  <c r="C12" i="2"/>
  <c r="D11" i="2"/>
  <c r="D48" i="2" s="1"/>
  <c r="C11" i="2"/>
  <c r="C48" i="2" s="1"/>
  <c r="G50" i="2" s="1"/>
  <c r="I9" i="2"/>
  <c r="H9" i="2"/>
  <c r="G9" i="2"/>
  <c r="E75" i="1"/>
  <c r="D75" i="1"/>
  <c r="C75" i="1"/>
  <c r="E71" i="1"/>
  <c r="D71" i="1"/>
  <c r="C71" i="1"/>
  <c r="E67" i="1"/>
  <c r="D67" i="1"/>
  <c r="C67" i="1"/>
  <c r="E63" i="1"/>
  <c r="D63" i="1"/>
  <c r="C63" i="1"/>
  <c r="E60" i="1"/>
  <c r="D60" i="1"/>
  <c r="D59" i="1" s="1"/>
  <c r="D78" i="1" s="1"/>
  <c r="C60" i="1"/>
  <c r="C59" i="1" s="1"/>
  <c r="C78" i="1" s="1"/>
  <c r="E55" i="1"/>
  <c r="D55" i="1"/>
  <c r="C55" i="1"/>
  <c r="E52" i="1"/>
  <c r="D52" i="1"/>
  <c r="C52" i="1"/>
  <c r="E46" i="1"/>
  <c r="D46" i="1"/>
  <c r="C46" i="1"/>
  <c r="E44" i="1"/>
  <c r="E41" i="1" s="1"/>
  <c r="C42" i="1"/>
  <c r="C41" i="1" s="1"/>
  <c r="D41" i="1"/>
  <c r="E37" i="1"/>
  <c r="D37" i="1"/>
  <c r="C37" i="1"/>
  <c r="E36" i="1"/>
  <c r="E33" i="1" s="1"/>
  <c r="D33" i="1"/>
  <c r="C33" i="1"/>
  <c r="E28" i="1"/>
  <c r="D28" i="1"/>
  <c r="C28" i="1"/>
  <c r="E26" i="1"/>
  <c r="D26" i="1"/>
  <c r="C24" i="1"/>
  <c r="C18" i="1" s="1"/>
  <c r="E18" i="1"/>
  <c r="D18" i="1"/>
  <c r="D16" i="1"/>
  <c r="D13" i="1" s="1"/>
  <c r="D12" i="1" s="1"/>
  <c r="D58" i="1" s="1"/>
  <c r="E13" i="1"/>
  <c r="C13" i="1"/>
  <c r="C12" i="1" s="1"/>
  <c r="E50" i="2" l="1"/>
  <c r="N15" i="5"/>
  <c r="N21" i="5" s="1"/>
  <c r="N24" i="5" s="1"/>
  <c r="O18" i="5"/>
  <c r="O16" i="5"/>
  <c r="O10" i="5"/>
  <c r="O13" i="5"/>
  <c r="O20" i="5"/>
  <c r="H21" i="5"/>
  <c r="C55" i="4"/>
  <c r="E55" i="4"/>
  <c r="E38" i="4"/>
  <c r="C13" i="4"/>
  <c r="C38" i="4" s="1"/>
  <c r="C62" i="4"/>
  <c r="C74" i="4" s="1"/>
  <c r="D38" i="4"/>
  <c r="D78" i="4" s="1"/>
  <c r="E74" i="4"/>
  <c r="H51" i="3"/>
  <c r="I16" i="3"/>
  <c r="E33" i="3"/>
  <c r="C21" i="3"/>
  <c r="C10" i="3" s="1"/>
  <c r="I36" i="3"/>
  <c r="G51" i="3"/>
  <c r="G31" i="3"/>
  <c r="C33" i="3"/>
  <c r="H36" i="3"/>
  <c r="H11" i="3"/>
  <c r="H10" i="3" s="1"/>
  <c r="H70" i="3" s="1"/>
  <c r="E10" i="3"/>
  <c r="E70" i="3" s="1"/>
  <c r="G11" i="3"/>
  <c r="D10" i="3"/>
  <c r="D70" i="3" s="1"/>
  <c r="I11" i="3"/>
  <c r="I31" i="3"/>
  <c r="C50" i="2"/>
  <c r="I50" i="2"/>
  <c r="H50" i="2"/>
  <c r="E12" i="1"/>
  <c r="E59" i="1"/>
  <c r="E78" i="1" s="1"/>
  <c r="D79" i="1"/>
  <c r="D81" i="1" s="1"/>
  <c r="D86" i="1" s="1"/>
  <c r="C58" i="1"/>
  <c r="C79" i="1" s="1"/>
  <c r="C81" i="1" s="1"/>
  <c r="C86" i="1" s="1"/>
  <c r="E58" i="1"/>
  <c r="E79" i="1" s="1"/>
  <c r="E81" i="1" s="1"/>
  <c r="E86" i="1" s="1"/>
  <c r="O15" i="5" l="1"/>
  <c r="H24" i="5"/>
  <c r="O24" i="5" s="1"/>
  <c r="O21" i="5"/>
  <c r="E78" i="4"/>
  <c r="C78" i="4"/>
  <c r="C70" i="3"/>
  <c r="G10" i="3"/>
  <c r="G70" i="3" s="1"/>
  <c r="I10" i="3"/>
  <c r="I70" i="3" s="1"/>
</calcChain>
</file>

<file path=xl/sharedStrings.xml><?xml version="1.0" encoding="utf-8"?>
<sst xmlns="http://schemas.openxmlformats.org/spreadsheetml/2006/main" count="397" uniqueCount="342">
  <si>
    <t>PRESUPUESTO DE EXPLOTACIÓN. CUENTA DE PÉRDIDAS Y GANANCIAS</t>
  </si>
  <si>
    <t>PRESUPUESTO 2020</t>
  </si>
  <si>
    <t>E - P20 - 01</t>
  </si>
  <si>
    <t xml:space="preserve">CENTRO: </t>
  </si>
  <si>
    <t xml:space="preserve">SECCION: </t>
  </si>
  <si>
    <t>SOCIEDAD: EMPRESA MUNICIPAL DE LA VIVIENDA Y SUELO DE MADRID, S.A.</t>
  </si>
  <si>
    <t>PRESUPUESTO</t>
  </si>
  <si>
    <t>ESTIMADO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</si>
  <si>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</si>
  <si>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</si>
  <si>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</si>
  <si>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</si>
  <si>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 xml:space="preserve">                  Arrendamientos</t>
  </si>
  <si>
    <t>venta suelo</t>
  </si>
  <si>
    <t xml:space="preserve">                  Ventas 4</t>
  </si>
  <si>
    <t xml:space="preserve">             b) Prestaciones de servicios</t>
  </si>
  <si>
    <t xml:space="preserve"> Administración y Gestión centro Barceló</t>
  </si>
  <si>
    <t xml:space="preserve">  Biblioteca Municipal SAN FERMIN</t>
  </si>
  <si>
    <t xml:space="preserve"> Biblioteca José Saramago</t>
  </si>
  <si>
    <t xml:space="preserve">                Encomienda de Gestion ARRUS</t>
  </si>
  <si>
    <t xml:space="preserve">                Encargo plan Madre</t>
  </si>
  <si>
    <t xml:space="preserve">                 Otras Prestaciones 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</si>
  <si>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</si>
  <si>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</si>
  <si>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</si>
  <si>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</si>
  <si>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</si>
  <si>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</si>
  <si>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</si>
  <si>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</si>
  <si>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</si>
  <si>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</si>
  <si>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</si>
  <si>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</si>
  <si>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</si>
  <si>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</si>
  <si>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</si>
  <si>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</si>
  <si>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</si>
  <si>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</si>
  <si>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</si>
  <si>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</si>
  <si>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</si>
  <si>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</si>
  <si>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</si>
  <si>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</si>
  <si>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</si>
  <si>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</si>
  <si>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</si>
  <si>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</si>
  <si>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</si>
  <si>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</si>
  <si>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</si>
  <si>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</si>
  <si>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</si>
  <si>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</si>
  <si>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</si>
  <si>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</si>
  <si>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</si>
  <si>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</si>
  <si>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</si>
  <si>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</si>
  <si>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</si>
  <si>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</si>
  <si>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</si>
  <si>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</si>
  <si>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</si>
  <si>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</si>
  <si>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</si>
  <si>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</si>
  <si>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</si>
  <si>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</si>
  <si>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</si>
  <si>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</si>
  <si>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</si>
  <si>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</si>
  <si>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</si>
  <si>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</si>
  <si>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</si>
  <si>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</si>
  <si>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</si>
  <si>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PRESUPUESTO DE CAPITAL. PROGRAMA ANUAL DE ACTUACIONES, INVERSIONES Y FINANCIACIÓN (PAIF)</t>
  </si>
  <si>
    <t>E - P20 - 02</t>
  </si>
  <si>
    <t>APLICACIÓN DE FONDOS</t>
  </si>
  <si>
    <t>ORIGEN DE FONDOS</t>
  </si>
  <si>
    <t>1.ADQUISICIONES DE INMOVILIZADO</t>
  </si>
  <si>
    <t>1.AUTOFINANCIACIÓN</t>
  </si>
  <si>
    <t xml:space="preserve">    1.1.Inmovilizado intangible</t>
  </si>
  <si>
    <t xml:space="preserve">   1.1.Resultados del ejercicio</t>
  </si>
  <si>
    <t xml:space="preserve">          1.1.a).Gastos de Investigación y desarrollo</t>
  </si>
  <si>
    <t xml:space="preserve">   1.2.Amortización del inmovilizado</t>
  </si>
  <si>
    <t xml:space="preserve">          1.1.b).Propiedad Industrial</t>
  </si>
  <si>
    <t xml:space="preserve">   1.3.Correcciones valorativas por deterioro</t>
  </si>
  <si>
    <t xml:space="preserve">          1.1.c).Aplicaciones informáticas</t>
  </si>
  <si>
    <t xml:space="preserve">   1.4. Variación de provisiones</t>
  </si>
  <si>
    <t xml:space="preserve">          1.1.d).Otro inmovilizado inmaterial</t>
  </si>
  <si>
    <t xml:space="preserve">   1.5.Imputación de subvenciones</t>
  </si>
  <si>
    <t xml:space="preserve">    1.2.Inmovilizado material</t>
  </si>
  <si>
    <t xml:space="preserve">   1.6.Resultados por bajas y enajenaciones del inmovilizado</t>
  </si>
  <si>
    <t xml:space="preserve">          2.2.a).Terrenos y construcciones</t>
  </si>
  <si>
    <t xml:space="preserve">   1.7.Resultados por bajas y enajenaciones de instrumentos financieros</t>
  </si>
  <si>
    <t xml:space="preserve">          2.2.b).Instalaciones técnicas y maquinaria</t>
  </si>
  <si>
    <t xml:space="preserve">   1.8.Diferencias de cambio</t>
  </si>
  <si>
    <t xml:space="preserve">          2.2.c).Otras instalaciones,utillaje y mobiliario</t>
  </si>
  <si>
    <t xml:space="preserve">   1.9.Variación de valor razonable en instrumentos financieros</t>
  </si>
  <si>
    <t xml:space="preserve">          2.2.d).Anticipos e inmovilizado en curso</t>
  </si>
  <si>
    <t xml:space="preserve">   1.10.Variación de existencias</t>
  </si>
  <si>
    <t xml:space="preserve">          2.2.e).Otro inmovilizado material</t>
  </si>
  <si>
    <t xml:space="preserve">   1.11.Ajuste por impuesto sobre beneficios</t>
  </si>
  <si>
    <t xml:space="preserve">    1.3.Inversiones inmobiliarias</t>
  </si>
  <si>
    <t xml:space="preserve">   1.12.Otros ingresos y gastos</t>
  </si>
  <si>
    <t xml:space="preserve">          1.3.a).Terrenos</t>
  </si>
  <si>
    <t xml:space="preserve">          1.3.b).Construcciones</t>
  </si>
  <si>
    <t>2.APORTACIONES DE CAPITAL</t>
  </si>
  <si>
    <t xml:space="preserve">    1.4.Inversiones financieras.</t>
  </si>
  <si>
    <t xml:space="preserve">    2.1. Del Ayuntamiento de Madrid</t>
  </si>
  <si>
    <t xml:space="preserve">          1.4.a). Instrumentos de patrimonio</t>
  </si>
  <si>
    <t xml:space="preserve">    2.2. De otros accionistas</t>
  </si>
  <si>
    <t xml:space="preserve">          1.4.b). Créditos a terceros</t>
  </si>
  <si>
    <t xml:space="preserve">          1.4.c). Valores representativos de deuda</t>
  </si>
  <si>
    <t>3.SUBVENCIONES DE CAPITAL</t>
  </si>
  <si>
    <t xml:space="preserve">          1.4.d). Derivados</t>
  </si>
  <si>
    <t xml:space="preserve">    3.1.Del Ayuntamiento</t>
  </si>
  <si>
    <t xml:space="preserve">          1.4.e). Inv.financ. en Empresas Municipales, OOAA y Ayto</t>
  </si>
  <si>
    <t xml:space="preserve">    3.2.De otros</t>
  </si>
  <si>
    <t xml:space="preserve">          1.4.f). Otros activos financieros</t>
  </si>
  <si>
    <t xml:space="preserve">    3.3.Adscripción de bienes</t>
  </si>
  <si>
    <t>4.FINANCIACIÓN AJENA A LARGO PLAZO</t>
  </si>
  <si>
    <t>2.REDUCCIÓN DE CAPITAL</t>
  </si>
  <si>
    <t xml:space="preserve">    4.1.Deudas con entidades de crédito</t>
  </si>
  <si>
    <t xml:space="preserve">    4.2.Deuda con el Ayuntamiento, OOAA y Empr.Municipales</t>
  </si>
  <si>
    <t>3.DIVIDENDOS</t>
  </si>
  <si>
    <t xml:space="preserve">    4.3.Otras deudas a l.pl.</t>
  </si>
  <si>
    <t>4.AMORTIZACIÓN DE DEUDA</t>
  </si>
  <si>
    <t>5.ENAJENACIÓN DE INMOVILIZADO</t>
  </si>
  <si>
    <t xml:space="preserve">    5.1.Inmovilizado intangible</t>
  </si>
  <si>
    <t xml:space="preserve">    4.2.Deuda con el Ayuntamiento, OOAA y Empr..Municipales</t>
  </si>
  <si>
    <t xml:space="preserve">    5.2.Inmovilizado material</t>
  </si>
  <si>
    <t xml:space="preserve">    4.3.Otras deudas</t>
  </si>
  <si>
    <t xml:space="preserve">    5.3. Inversiones inmobiliarias</t>
  </si>
  <si>
    <t xml:space="preserve">    5.4. Inversiones financieras</t>
  </si>
  <si>
    <t>5.APLICACION PROVISION (PAGOS)</t>
  </si>
  <si>
    <t xml:space="preserve">    5.5. Activos no corrientes matenidos para venta (no financieros)</t>
  </si>
  <si>
    <t xml:space="preserve">     5.1 Aplicaciones (pagos) provisiones de personal</t>
  </si>
  <si>
    <t xml:space="preserve">    5.6. Activos no corrientes matenidos para venta (financieros)</t>
  </si>
  <si>
    <t xml:space="preserve">     5.2 Aplicaciones (pagos) resto de provisiones</t>
  </si>
  <si>
    <t>TOTAL APLICACIONES</t>
  </si>
  <si>
    <t>TOTAL ORÍGENES</t>
  </si>
  <si>
    <t>EXCESO DE ORÍGENES</t>
  </si>
  <si>
    <t>EXCESO DE APLICACIONES</t>
  </si>
  <si>
    <t>BALANCE DE SITUACIÓN</t>
  </si>
  <si>
    <t>E - P20 - 03</t>
  </si>
  <si>
    <t>ACTIVO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</si>
  <si>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</si>
  <si>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</si>
  <si>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</si>
  <si>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</si>
  <si>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</si>
  <si>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</si>
  <si>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</si>
  <si>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</si>
  <si>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</si>
  <si>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</si>
  <si>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</si>
  <si>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</si>
  <si>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</si>
  <si>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</si>
  <si>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</si>
  <si>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</si>
  <si>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</si>
  <si>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</si>
  <si>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</si>
  <si>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</si>
  <si>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</si>
  <si>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</si>
  <si>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</si>
  <si>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</si>
  <si>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</si>
  <si>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</si>
  <si>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</si>
  <si>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</si>
  <si>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</si>
  <si>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</si>
  <si>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</si>
  <si>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</si>
  <si>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</si>
  <si>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</si>
  <si>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</si>
  <si>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</si>
  <si>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</si>
  <si>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</si>
  <si>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</si>
  <si>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</si>
  <si>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</si>
  <si>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</si>
  <si>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</si>
  <si>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</si>
  <si>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</si>
  <si>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</si>
  <si>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</si>
  <si>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</si>
  <si>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</si>
  <si>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</si>
  <si>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</si>
  <si>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</si>
  <si>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</si>
  <si>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</si>
  <si>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</si>
  <si>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</si>
  <si>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</si>
  <si>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</si>
  <si>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</si>
  <si>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</si>
  <si>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</si>
  <si>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</si>
  <si>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</si>
  <si>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</si>
  <si>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</si>
  <si>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</si>
  <si>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</si>
  <si>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</si>
  <si>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</si>
  <si>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</si>
  <si>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</si>
  <si>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</si>
  <si>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</si>
  <si>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</si>
  <si>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</si>
  <si>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</si>
  <si>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</si>
  <si>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</si>
  <si>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</si>
  <si>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</si>
  <si>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</si>
  <si>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</si>
  <si>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</si>
  <si>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</si>
  <si>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</si>
  <si>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</si>
  <si>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</si>
  <si>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</si>
  <si>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</si>
  <si>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</si>
  <si>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</si>
  <si>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</si>
  <si>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</si>
  <si>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</si>
  <si>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</si>
  <si>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</si>
  <si>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</si>
  <si>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</si>
  <si>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ESTADO DE FLUJOS DE EFECTIVO</t>
  </si>
  <si>
    <t>E - P20 - 04</t>
  </si>
  <si>
    <t>A) FLUJOS DE EFECTIVO DE LAS ACTIV. DE EXPLOTACION</t>
  </si>
  <si>
    <t xml:space="preserve">   1. Resultado del ejercicio antes de impuestos</t>
  </si>
  <si>
    <t xml:space="preserve">   2. Ajustes del resultado</t>
  </si>
  <si>
    <t xml:space="preserve">       a) Amortización del inmovilizado</t>
  </si>
  <si>
    <t xml:space="preserve">       b) Correcciones valorativas por deterioro</t>
  </si>
  <si>
    <t xml:space="preserve">       c) Variación de provisiones</t>
  </si>
  <si>
    <t xml:space="preserve">       d) Imputación de subvenciones</t>
  </si>
  <si>
    <t xml:space="preserve">       e) Resultados por bajas y enajenaciones del inmovilizado</t>
  </si>
  <si>
    <t xml:space="preserve">       f) Resultados por bajas y enajenaciones de instrumentos financieros</t>
  </si>
  <si>
    <t xml:space="preserve">       g) Ingresos financieros</t>
  </si>
  <si>
    <t xml:space="preserve">       h) Gastos financieros</t>
  </si>
  <si>
    <t xml:space="preserve">       i) Diferencias de cambio</t>
  </si>
  <si>
    <t xml:space="preserve">       j) Variación de valor razonable en instrumentos financieros</t>
  </si>
  <si>
    <t xml:space="preserve">       k) Otros ingresos y gastos</t>
  </si>
  <si>
    <t xml:space="preserve">   3.Cambios en el capital corriente</t>
  </si>
  <si>
    <t xml:space="preserve">       a) Existencias</t>
  </si>
  <si>
    <t xml:space="preserve">       b) Deudores y otras cuentas a cobrar</t>
  </si>
  <si>
    <t xml:space="preserve">       c) Otros activos corrientes</t>
  </si>
  <si>
    <t xml:space="preserve">       d) Acreedores y otras cuentas a pagar</t>
  </si>
  <si>
    <t xml:space="preserve">       e) Otros pasivos corrientes</t>
  </si>
  <si>
    <t xml:space="preserve">        f) Otros activos y pasivos no corrientes</t>
  </si>
  <si>
    <t xml:space="preserve">   4. Otros flujos de efectivo de las actividades de explotación</t>
  </si>
  <si>
    <t xml:space="preserve">       a) Pagos de intereses </t>
  </si>
  <si>
    <t xml:space="preserve">       b) Cobros de dividendos</t>
  </si>
  <si>
    <t xml:space="preserve">       c)Cobros de intereses</t>
  </si>
  <si>
    <t xml:space="preserve">       d) Pagos o cobros por impuesto sobre beneficios</t>
  </si>
  <si>
    <t xml:space="preserve">       e) Otros pagos o cobros</t>
  </si>
  <si>
    <t xml:space="preserve">   5. Flujos de efectivo de las actividades de explotación (1+2+3+4)</t>
  </si>
  <si>
    <t>B) FLUJOS DE EFECTIVO DE LAS ACTIV. DE INVERSION</t>
  </si>
  <si>
    <t xml:space="preserve">   6. Pagos por inversiones</t>
  </si>
  <si>
    <t xml:space="preserve">       a) Inmovilizado intangible</t>
  </si>
  <si>
    <t xml:space="preserve">       b) Inmovilizado material</t>
  </si>
  <si>
    <t xml:space="preserve">       c) Inversiones inmobiliarias</t>
  </si>
  <si>
    <t xml:space="preserve">       d) Otros activos financieros</t>
  </si>
  <si>
    <t xml:space="preserve">       e) Activos no corrientes mantenidos para venta</t>
  </si>
  <si>
    <t xml:space="preserve">       f) Otros activos</t>
  </si>
  <si>
    <t xml:space="preserve">   7. Cobros por desinversiones</t>
  </si>
  <si>
    <t xml:space="preserve">  8. Flujos de efectivo de las actividades de inversión (6+7)</t>
  </si>
  <si>
    <t>C) FLUJOS DE EFECTIVO DE LAS ACTIV. DE FINANCIACION</t>
  </si>
  <si>
    <t xml:space="preserve">   9.Cobros y pagos por instrumentros de patrimonio</t>
  </si>
  <si>
    <t xml:space="preserve">       a) Emisión de instrumentos de patrimonio</t>
  </si>
  <si>
    <t xml:space="preserve">       b) Amortización de instrumentos de patrimonio</t>
  </si>
  <si>
    <t xml:space="preserve">       c) Subvenciones, donaciones y legados recibidos</t>
  </si>
  <si>
    <t xml:space="preserve">   10. Cobros y pagos por instrumentos de pasivo financiero</t>
  </si>
  <si>
    <t xml:space="preserve">       a) Emisión</t>
  </si>
  <si>
    <t xml:space="preserve">            1. Deudas con entidades de crédito</t>
  </si>
  <si>
    <t xml:space="preserve">            2. Deudas con el Ayuntamiento, OOAA y Empr. Municipales</t>
  </si>
  <si>
    <t xml:space="preserve">            3. Otras deudas</t>
  </si>
  <si>
    <t xml:space="preserve">       b) Devolución y amortización de</t>
  </si>
  <si>
    <t xml:space="preserve">   11. Pagos por dividendos y remun. de otros instr. de patrimonio</t>
  </si>
  <si>
    <t xml:space="preserve">       a) Dividendos</t>
  </si>
  <si>
    <t xml:space="preserve">       b) Remuneración de otros instrumentos de patrimonio</t>
  </si>
  <si>
    <t xml:space="preserve">  12. Flujos de efectivo de las actividades de financiación (9+10+11)</t>
  </si>
  <si>
    <t>D) EFECTO DE LAS VARIACIONES DE LOS TIPOS DE CAMBIO</t>
  </si>
  <si>
    <t>E) AUMENTO / DISMINUCION NETA DEL EFECTIVO
 O EQUIVALENTES   (5+8+12+D)</t>
  </si>
  <si>
    <t>Efectivo o equvalentes al comienzo del ejercicio</t>
  </si>
  <si>
    <t>Efectivo o equvalentes al final del ejercicio</t>
  </si>
  <si>
    <t>PERSONAL AL SERVICIO DE LA EMPRESA</t>
  </si>
  <si>
    <t>E - P20 - 05</t>
  </si>
  <si>
    <t>PERSONAL (A)</t>
  </si>
  <si>
    <t>Nº TOTAL(B)</t>
  </si>
  <si>
    <t>COSTE PRESUPUESTO AÑO 2020</t>
  </si>
  <si>
    <t>COSTE ESTIMADO AÑO 2019</t>
  </si>
  <si>
    <t>(1)/(2)</t>
  </si>
  <si>
    <t>(Clasificado por categorías profesionales)</t>
  </si>
  <si>
    <t>PREV. 2019</t>
  </si>
  <si>
    <t>REMUN. INTEGRAS(C)</t>
  </si>
  <si>
    <t>ANTIGÜEDAD</t>
  </si>
  <si>
    <t>HORAS EXT.</t>
  </si>
  <si>
    <t>SEG. SOCIAL</t>
  </si>
  <si>
    <t>TOTAL COSTE(1)</t>
  </si>
  <si>
    <t>ESTIM 2018</t>
  </si>
  <si>
    <t>TOTAL COSTE(2)</t>
  </si>
  <si>
    <t>%</t>
  </si>
  <si>
    <t>CONSEJERO DELEGADO Y GERENTE</t>
  </si>
  <si>
    <t>GRUPO 0 NIVEL 1</t>
  </si>
  <si>
    <t>GRUPO 1 NIVEL 2</t>
  </si>
  <si>
    <t>GRUPO 1 NIVEL 3</t>
  </si>
  <si>
    <t>GRUPO 1 NIVEL 4</t>
  </si>
  <si>
    <t>GRUPO 1 NIVEL 5</t>
  </si>
  <si>
    <t>GRUPO 2 NIVEL 6</t>
  </si>
  <si>
    <t>GRUPO 2 NIVEL 7.1</t>
  </si>
  <si>
    <t>GRUPO 2 NIVEL 7</t>
  </si>
  <si>
    <t>GRUPO 2 NIVEL 8</t>
  </si>
  <si>
    <t>GRUPO 3 NIVEL 9</t>
  </si>
  <si>
    <t>TOTAL</t>
  </si>
  <si>
    <t>Coste de complementos de pensiones y otras cargas sociales:</t>
  </si>
  <si>
    <t>(A). Personal clasificado por categorias profesionales según Convenio. Además se incluiran las categorias necesarias para reflejar el personal fuera de Convenio.</t>
  </si>
  <si>
    <t>(B). Plantilla media, se calculará ponderando los períodos de contratación de los trabajadores.Se incluye personal alta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</si>
</sst>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7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</font>
    <font>
      <b/>
      <sz val="13"/>
      <name val="Arial"/>
      <family val="2"/>
    </font>
    <font>
      <b/>
      <sz val="13"/>
      <name val="Arial Narrow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Fill="0"/>
  </cellStyleXfs>
  <cellXfs count="238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</xf>
    <xf numFmtId="14" fontId="2" fillId="2" borderId="4" xfId="0" applyNumberFormat="1" applyFont="1" applyFill="1" applyBorder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4" fillId="0" borderId="12" xfId="0" applyNumberFormat="1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4" fontId="4" fillId="0" borderId="13" xfId="0" applyNumberFormat="1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4" fontId="4" fillId="0" borderId="12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3" fontId="4" fillId="0" borderId="17" xfId="0" applyNumberFormat="1" applyFont="1" applyFill="1" applyBorder="1" applyAlignment="1" applyProtection="1">
      <alignment vertical="center"/>
    </xf>
    <xf numFmtId="4" fontId="4" fillId="0" borderId="16" xfId="0" applyNumberFormat="1" applyFont="1" applyFill="1" applyBorder="1" applyAlignment="1" applyProtection="1">
      <alignment vertical="center"/>
    </xf>
    <xf numFmtId="4" fontId="4" fillId="0" borderId="17" xfId="0" applyNumberFormat="1" applyFont="1" applyFill="1" applyBorder="1" applyAlignment="1" applyProtection="1">
      <alignment vertical="center"/>
    </xf>
    <xf numFmtId="4" fontId="4" fillId="0" borderId="15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vertical="center"/>
    </xf>
    <xf numFmtId="4" fontId="9" fillId="0" borderId="19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3" fontId="4" fillId="0" borderId="10" xfId="0" applyNumberFormat="1" applyFont="1" applyFill="1" applyBorder="1" applyAlignment="1" applyProtection="1">
      <alignment vertical="center"/>
    </xf>
    <xf numFmtId="4" fontId="4" fillId="0" borderId="21" xfId="0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vertical="center"/>
    </xf>
    <xf numFmtId="4" fontId="4" fillId="0" borderId="22" xfId="0" applyNumberFormat="1" applyFont="1" applyFill="1" applyBorder="1" applyAlignment="1" applyProtection="1">
      <alignment vertical="center"/>
      <protection locked="0"/>
    </xf>
    <xf numFmtId="4" fontId="4" fillId="0" borderId="21" xfId="0" applyNumberFormat="1" applyFont="1" applyFill="1" applyBorder="1" applyAlignment="1" applyProtection="1">
      <alignment vertical="center"/>
      <protection locked="0"/>
    </xf>
    <xf numFmtId="4" fontId="4" fillId="0" borderId="10" xfId="0" applyNumberFormat="1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4" fontId="4" fillId="0" borderId="24" xfId="0" applyNumberFormat="1" applyFont="1" applyFill="1" applyBorder="1" applyAlignment="1" applyProtection="1">
      <alignment vertical="center"/>
    </xf>
    <xf numFmtId="4" fontId="4" fillId="0" borderId="25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4" fontId="3" fillId="0" borderId="27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0" fontId="0" fillId="0" borderId="0" xfId="0" applyProtection="1"/>
    <xf numFmtId="0" fontId="1" fillId="0" borderId="0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Border="1" applyProtection="1"/>
    <xf numFmtId="4" fontId="2" fillId="0" borderId="0" xfId="0" applyNumberFormat="1" applyFont="1" applyBorder="1" applyProtection="1"/>
    <xf numFmtId="0" fontId="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3" fontId="7" fillId="0" borderId="1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3" fontId="7" fillId="0" borderId="29" xfId="0" applyNumberFormat="1" applyFont="1" applyFill="1" applyBorder="1" applyAlignment="1" applyProtection="1">
      <alignment horizontal="center"/>
    </xf>
    <xf numFmtId="3" fontId="7" fillId="0" borderId="11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Protection="1"/>
    <xf numFmtId="4" fontId="3" fillId="0" borderId="12" xfId="0" applyNumberFormat="1" applyFont="1" applyFill="1" applyBorder="1" applyProtection="1"/>
    <xf numFmtId="0" fontId="2" fillId="0" borderId="30" xfId="0" applyFont="1" applyFill="1" applyBorder="1" applyProtection="1"/>
    <xf numFmtId="4" fontId="3" fillId="0" borderId="13" xfId="0" applyNumberFormat="1" applyFont="1" applyFill="1" applyBorder="1" applyProtection="1"/>
    <xf numFmtId="0" fontId="6" fillId="0" borderId="9" xfId="0" applyFont="1" applyFill="1" applyBorder="1" applyProtection="1"/>
    <xf numFmtId="4" fontId="4" fillId="0" borderId="12" xfId="0" applyNumberFormat="1" applyFont="1" applyFill="1" applyBorder="1" applyProtection="1"/>
    <xf numFmtId="0" fontId="6" fillId="0" borderId="0" xfId="0" applyFont="1" applyFill="1" applyBorder="1" applyProtection="1"/>
    <xf numFmtId="4" fontId="4" fillId="0" borderId="13" xfId="0" applyNumberFormat="1" applyFont="1" applyFill="1" applyBorder="1" applyProtection="1"/>
    <xf numFmtId="4" fontId="4" fillId="0" borderId="12" xfId="0" applyNumberFormat="1" applyFont="1" applyFill="1" applyBorder="1" applyProtection="1">
      <protection locked="0"/>
    </xf>
    <xf numFmtId="0" fontId="0" fillId="0" borderId="0" xfId="0" applyFill="1" applyProtection="1"/>
    <xf numFmtId="4" fontId="0" fillId="0" borderId="12" xfId="0" applyNumberFormat="1" applyFill="1" applyBorder="1" applyProtection="1"/>
    <xf numFmtId="4" fontId="0" fillId="0" borderId="13" xfId="0" applyNumberFormat="1" applyFill="1" applyBorder="1" applyProtection="1"/>
    <xf numFmtId="4" fontId="4" fillId="0" borderId="13" xfId="0" applyNumberFormat="1" applyFont="1" applyFill="1" applyBorder="1" applyProtection="1">
      <protection locked="0"/>
    </xf>
    <xf numFmtId="0" fontId="2" fillId="0" borderId="0" xfId="0" applyFont="1" applyFill="1" applyBorder="1" applyProtection="1"/>
    <xf numFmtId="4" fontId="9" fillId="0" borderId="12" xfId="0" applyNumberFormat="1" applyFont="1" applyFill="1" applyBorder="1" applyProtection="1"/>
    <xf numFmtId="4" fontId="9" fillId="0" borderId="13" xfId="0" applyNumberFormat="1" applyFont="1" applyFill="1" applyBorder="1" applyProtection="1"/>
    <xf numFmtId="0" fontId="6" fillId="0" borderId="14" xfId="0" applyFont="1" applyFill="1" applyBorder="1" applyProtection="1"/>
    <xf numFmtId="0" fontId="2" fillId="0" borderId="14" xfId="0" applyFont="1" applyFill="1" applyBorder="1" applyProtection="1"/>
    <xf numFmtId="4" fontId="3" fillId="0" borderId="12" xfId="0" applyNumberFormat="1" applyFont="1" applyFill="1" applyBorder="1" applyProtection="1">
      <protection locked="0"/>
    </xf>
    <xf numFmtId="4" fontId="10" fillId="0" borderId="15" xfId="0" applyNumberFormat="1" applyFont="1" applyFill="1" applyBorder="1" applyProtection="1"/>
    <xf numFmtId="4" fontId="10" fillId="0" borderId="15" xfId="0" applyNumberFormat="1" applyFont="1" applyFill="1" applyBorder="1" applyProtection="1">
      <protection locked="0"/>
    </xf>
    <xf numFmtId="4" fontId="10" fillId="0" borderId="12" xfId="0" applyNumberFormat="1" applyFont="1" applyFill="1" applyBorder="1" applyProtection="1">
      <protection locked="0"/>
    </xf>
    <xf numFmtId="4" fontId="4" fillId="0" borderId="31" xfId="0" applyNumberFormat="1" applyFont="1" applyFill="1" applyBorder="1" applyProtection="1"/>
    <xf numFmtId="4" fontId="4" fillId="0" borderId="7" xfId="0" applyNumberFormat="1" applyFont="1" applyFill="1" applyBorder="1" applyProtection="1"/>
    <xf numFmtId="0" fontId="8" fillId="0" borderId="32" xfId="0" applyFont="1" applyFill="1" applyBorder="1" applyProtection="1"/>
    <xf numFmtId="4" fontId="4" fillId="0" borderId="10" xfId="0" applyNumberFormat="1" applyFont="1" applyFill="1" applyBorder="1" applyProtection="1"/>
    <xf numFmtId="4" fontId="4" fillId="0" borderId="21" xfId="0" applyNumberFormat="1" applyFont="1" applyFill="1" applyBorder="1" applyProtection="1"/>
    <xf numFmtId="0" fontId="1" fillId="0" borderId="33" xfId="0" applyFont="1" applyFill="1" applyBorder="1" applyProtection="1"/>
    <xf numFmtId="4" fontId="3" fillId="0" borderId="34" xfId="0" applyNumberFormat="1" applyFont="1" applyFill="1" applyBorder="1" applyProtection="1"/>
    <xf numFmtId="0" fontId="1" fillId="0" borderId="35" xfId="0" applyFont="1" applyFill="1" applyBorder="1" applyProtection="1"/>
    <xf numFmtId="4" fontId="3" fillId="0" borderId="36" xfId="0" applyNumberFormat="1" applyFont="1" applyFill="1" applyBorder="1" applyProtection="1"/>
    <xf numFmtId="0" fontId="8" fillId="0" borderId="14" xfId="0" applyFont="1" applyFill="1" applyBorder="1" applyProtection="1"/>
    <xf numFmtId="4" fontId="11" fillId="0" borderId="10" xfId="0" applyNumberFormat="1" applyFont="1" applyFill="1" applyBorder="1" applyProtection="1"/>
    <xf numFmtId="0" fontId="8" fillId="0" borderId="0" xfId="0" applyFont="1" applyFill="1" applyBorder="1" applyProtection="1"/>
    <xf numFmtId="4" fontId="11" fillId="0" borderId="21" xfId="0" applyNumberFormat="1" applyFont="1" applyFill="1" applyBorder="1" applyProtection="1"/>
    <xf numFmtId="0" fontId="2" fillId="0" borderId="37" xfId="0" applyFont="1" applyFill="1" applyBorder="1" applyProtection="1"/>
    <xf numFmtId="4" fontId="12" fillId="0" borderId="38" xfId="0" applyNumberFormat="1" applyFont="1" applyFill="1" applyBorder="1" applyProtection="1"/>
    <xf numFmtId="0" fontId="2" fillId="0" borderId="39" xfId="0" applyFont="1" applyFill="1" applyBorder="1" applyProtection="1"/>
    <xf numFmtId="4" fontId="12" fillId="0" borderId="40" xfId="0" applyNumberFormat="1" applyFont="1" applyFill="1" applyBorder="1" applyProtection="1"/>
    <xf numFmtId="4" fontId="0" fillId="0" borderId="0" xfId="0" applyNumberForma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2" borderId="41" xfId="0" applyFont="1" applyFill="1" applyBorder="1" applyAlignment="1" applyProtection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vertical="center"/>
    </xf>
    <xf numFmtId="3" fontId="4" fillId="0" borderId="43" xfId="0" applyNumberFormat="1" applyFont="1" applyFill="1" applyBorder="1" applyAlignment="1" applyProtection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3" fontId="2" fillId="0" borderId="9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</xf>
    <xf numFmtId="3" fontId="2" fillId="0" borderId="14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4" fontId="0" fillId="0" borderId="44" xfId="0" applyNumberFormat="1" applyBorder="1"/>
    <xf numFmtId="4" fontId="4" fillId="3" borderId="12" xfId="0" applyNumberFormat="1" applyFont="1" applyFill="1" applyBorder="1" applyAlignment="1" applyProtection="1">
      <alignment vertical="center"/>
      <protection locked="0"/>
    </xf>
    <xf numFmtId="3" fontId="6" fillId="0" borderId="9" xfId="0" applyNumberFormat="1" applyFont="1" applyFill="1" applyBorder="1" applyAlignment="1" applyProtection="1">
      <alignment vertical="center"/>
    </xf>
    <xf numFmtId="3" fontId="7" fillId="0" borderId="9" xfId="0" applyNumberFormat="1" applyFont="1" applyFill="1" applyBorder="1" applyAlignment="1" applyProtection="1">
      <alignment vertical="center"/>
    </xf>
    <xf numFmtId="4" fontId="4" fillId="3" borderId="13" xfId="0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</xf>
    <xf numFmtId="4" fontId="0" fillId="0" borderId="13" xfId="0" applyNumberForma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8" fillId="0" borderId="14" xfId="0" applyNumberFormat="1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4" fontId="0" fillId="0" borderId="46" xfId="0" applyNumberFormat="1" applyFill="1" applyBorder="1" applyAlignment="1" applyProtection="1">
      <alignment vertical="center"/>
      <protection locked="0"/>
    </xf>
    <xf numFmtId="0" fontId="2" fillId="0" borderId="47" xfId="0" applyFont="1" applyFill="1" applyBorder="1" applyAlignment="1" applyProtection="1">
      <alignment vertical="center"/>
    </xf>
    <xf numFmtId="4" fontId="3" fillId="0" borderId="48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4" fontId="0" fillId="0" borderId="0" xfId="0" applyNumberFormat="1"/>
    <xf numFmtId="4" fontId="4" fillId="0" borderId="15" xfId="0" applyNumberFormat="1" applyFont="1" applyFill="1" applyBorder="1" applyAlignment="1" applyProtection="1">
      <alignment vertical="center"/>
    </xf>
    <xf numFmtId="4" fontId="4" fillId="0" borderId="49" xfId="0" applyNumberFormat="1" applyFont="1" applyFill="1" applyBorder="1" applyAlignment="1" applyProtection="1">
      <alignment vertical="center"/>
    </xf>
    <xf numFmtId="4" fontId="4" fillId="3" borderId="49" xfId="0" applyNumberFormat="1" applyFont="1" applyFill="1" applyBorder="1" applyAlignment="1" applyProtection="1">
      <alignment vertical="center"/>
      <protection locked="0"/>
    </xf>
    <xf numFmtId="0" fontId="7" fillId="0" borderId="50" xfId="0" applyFont="1" applyFill="1" applyBorder="1" applyAlignment="1" applyProtection="1">
      <alignment vertical="center"/>
    </xf>
    <xf numFmtId="3" fontId="4" fillId="0" borderId="51" xfId="0" applyNumberFormat="1" applyFont="1" applyFill="1" applyBorder="1" applyAlignment="1" applyProtection="1">
      <alignment vertical="center"/>
    </xf>
    <xf numFmtId="4" fontId="4" fillId="0" borderId="51" xfId="0" applyNumberFormat="1" applyFont="1" applyFill="1" applyBorder="1" applyAlignment="1" applyProtection="1">
      <alignment vertical="center"/>
    </xf>
    <xf numFmtId="3" fontId="4" fillId="0" borderId="52" xfId="0" applyNumberFormat="1" applyFont="1" applyFill="1" applyBorder="1" applyAlignment="1" applyProtection="1">
      <alignment vertical="center"/>
    </xf>
    <xf numFmtId="4" fontId="4" fillId="3" borderId="15" xfId="0" applyNumberFormat="1" applyFont="1" applyFill="1" applyBorder="1" applyAlignment="1" applyProtection="1">
      <alignment vertical="center"/>
      <protection locked="0"/>
    </xf>
    <xf numFmtId="3" fontId="4" fillId="0" borderId="16" xfId="0" applyNumberFormat="1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3" fontId="9" fillId="0" borderId="19" xfId="0" applyNumberFormat="1" applyFont="1" applyFill="1" applyBorder="1" applyAlignment="1" applyProtection="1">
      <alignment vertical="center"/>
      <protection locked="0"/>
    </xf>
    <xf numFmtId="3" fontId="9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</xf>
    <xf numFmtId="0" fontId="13" fillId="0" borderId="23" xfId="0" applyFont="1" applyFill="1" applyBorder="1" applyAlignment="1" applyProtection="1">
      <alignment vertical="center" wrapText="1"/>
    </xf>
    <xf numFmtId="4" fontId="4" fillId="0" borderId="53" xfId="0" applyNumberFormat="1" applyFont="1" applyFill="1" applyBorder="1" applyAlignment="1" applyProtection="1">
      <alignment vertical="center"/>
    </xf>
    <xf numFmtId="4" fontId="4" fillId="0" borderId="52" xfId="0" applyNumberFormat="1" applyFont="1" applyFill="1" applyBorder="1" applyAlignment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4" fontId="4" fillId="0" borderId="45" xfId="0" applyNumberFormat="1" applyFont="1" applyFill="1" applyBorder="1" applyAlignment="1" applyProtection="1">
      <alignment vertical="center"/>
    </xf>
    <xf numFmtId="4" fontId="4" fillId="0" borderId="46" xfId="0" applyNumberFormat="1" applyFont="1" applyFill="1" applyBorder="1" applyAlignment="1" applyProtection="1">
      <alignment vertical="center"/>
    </xf>
    <xf numFmtId="4" fontId="14" fillId="0" borderId="19" xfId="0" applyNumberFormat="1" applyFont="1" applyFill="1" applyBorder="1" applyAlignment="1" applyProtection="1">
      <alignment vertical="center"/>
    </xf>
    <xf numFmtId="4" fontId="4" fillId="0" borderId="55" xfId="0" applyNumberFormat="1" applyFont="1" applyBorder="1" applyAlignment="1" applyProtection="1">
      <alignment vertical="center"/>
    </xf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8" fillId="0" borderId="39" xfId="0" applyFont="1" applyBorder="1"/>
    <xf numFmtId="0" fontId="0" fillId="0" borderId="39" xfId="0" applyBorder="1"/>
    <xf numFmtId="0" fontId="6" fillId="0" borderId="39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 wrapText="1"/>
    </xf>
    <xf numFmtId="0" fontId="8" fillId="2" borderId="60" xfId="0" applyFont="1" applyFill="1" applyBorder="1" applyAlignment="1">
      <alignment horizontal="center"/>
    </xf>
    <xf numFmtId="0" fontId="8" fillId="2" borderId="61" xfId="0" applyFont="1" applyFill="1" applyBorder="1" applyAlignment="1">
      <alignment horizontal="center" wrapText="1"/>
    </xf>
    <xf numFmtId="0" fontId="8" fillId="2" borderId="6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14" xfId="0" applyFont="1" applyFill="1" applyBorder="1" applyProtection="1">
      <protection locked="0"/>
    </xf>
    <xf numFmtId="3" fontId="4" fillId="4" borderId="12" xfId="1" applyNumberFormat="1" applyFont="1" applyFill="1" applyBorder="1" applyProtection="1">
      <protection locked="0"/>
    </xf>
    <xf numFmtId="4" fontId="4" fillId="4" borderId="12" xfId="1" applyNumberFormat="1" applyFont="1" applyFill="1" applyBorder="1" applyProtection="1">
      <protection locked="0"/>
    </xf>
    <xf numFmtId="4" fontId="4" fillId="0" borderId="63" xfId="0" applyNumberFormat="1" applyFont="1" applyFill="1" applyBorder="1"/>
    <xf numFmtId="3" fontId="4" fillId="0" borderId="13" xfId="1" applyNumberFormat="1" applyFont="1" applyFill="1" applyBorder="1"/>
    <xf numFmtId="10" fontId="4" fillId="0" borderId="63" xfId="0" applyNumberFormat="1" applyFont="1" applyFill="1" applyBorder="1"/>
    <xf numFmtId="4" fontId="4" fillId="0" borderId="13" xfId="0" applyNumberFormat="1" applyFont="1" applyFill="1" applyBorder="1"/>
    <xf numFmtId="10" fontId="4" fillId="0" borderId="13" xfId="0" applyNumberFormat="1" applyFont="1" applyFill="1" applyBorder="1"/>
    <xf numFmtId="0" fontId="9" fillId="0" borderId="23" xfId="0" applyFont="1" applyFill="1" applyBorder="1"/>
    <xf numFmtId="3" fontId="4" fillId="0" borderId="64" xfId="0" applyNumberFormat="1" applyFont="1" applyFill="1" applyBorder="1"/>
    <xf numFmtId="4" fontId="4" fillId="0" borderId="64" xfId="0" applyNumberFormat="1" applyFont="1" applyFill="1" applyBorder="1"/>
    <xf numFmtId="4" fontId="4" fillId="0" borderId="20" xfId="0" applyNumberFormat="1" applyFont="1" applyFill="1" applyBorder="1"/>
    <xf numFmtId="3" fontId="4" fillId="0" borderId="65" xfId="0" applyNumberFormat="1" applyFont="1" applyFill="1" applyBorder="1"/>
    <xf numFmtId="4" fontId="4" fillId="0" borderId="19" xfId="0" applyNumberFormat="1" applyFont="1" applyFill="1" applyBorder="1"/>
    <xf numFmtId="10" fontId="4" fillId="0" borderId="66" xfId="0" applyNumberFormat="1" applyFont="1" applyFill="1" applyBorder="1"/>
    <xf numFmtId="0" fontId="0" fillId="0" borderId="23" xfId="0" applyFill="1" applyBorder="1"/>
    <xf numFmtId="0" fontId="2" fillId="0" borderId="61" xfId="0" applyFont="1" applyFill="1" applyBorder="1"/>
    <xf numFmtId="0" fontId="0" fillId="0" borderId="61" xfId="0" applyFill="1" applyBorder="1"/>
    <xf numFmtId="4" fontId="4" fillId="0" borderId="20" xfId="0" applyNumberFormat="1" applyFont="1" applyFill="1" applyBorder="1" applyProtection="1">
      <protection locked="0"/>
    </xf>
    <xf numFmtId="0" fontId="2" fillId="0" borderId="23" xfId="0" applyFont="1" applyFill="1" applyBorder="1"/>
    <xf numFmtId="0" fontId="0" fillId="0" borderId="65" xfId="0" applyFill="1" applyBorder="1"/>
    <xf numFmtId="0" fontId="6" fillId="0" borderId="19" xfId="0" applyFont="1" applyFill="1" applyBorder="1"/>
    <xf numFmtId="10" fontId="4" fillId="0" borderId="20" xfId="0" applyNumberFormat="1" applyFont="1" applyFill="1" applyBorder="1"/>
    <xf numFmtId="0" fontId="0" fillId="0" borderId="18" xfId="0" applyFill="1" applyBorder="1"/>
    <xf numFmtId="0" fontId="0" fillId="0" borderId="0" xfId="0" applyFill="1" applyBorder="1" applyProtection="1">
      <protection locked="0"/>
    </xf>
    <xf numFmtId="0" fontId="6" fillId="0" borderId="66" xfId="0" applyFont="1" applyFill="1" applyBorder="1"/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6" fillId="0" borderId="61" xfId="0" applyFont="1" applyFill="1" applyBorder="1" applyProtection="1">
      <protection locked="0"/>
    </xf>
    <xf numFmtId="0" fontId="6" fillId="0" borderId="67" xfId="0" applyFont="1" applyFill="1" applyBorder="1"/>
    <xf numFmtId="10" fontId="16" fillId="0" borderId="20" xfId="0" applyNumberFormat="1" applyFont="1" applyFill="1" applyBorder="1"/>
    <xf numFmtId="0" fontId="1" fillId="0" borderId="68" xfId="0" applyFont="1" applyFill="1" applyBorder="1"/>
    <xf numFmtId="0" fontId="1" fillId="0" borderId="69" xfId="0" applyFont="1" applyFill="1" applyBorder="1" applyProtection="1">
      <protection locked="0"/>
    </xf>
    <xf numFmtId="3" fontId="1" fillId="0" borderId="69" xfId="0" applyNumberFormat="1" applyFont="1" applyFill="1" applyBorder="1" applyProtection="1">
      <protection locked="0"/>
    </xf>
    <xf numFmtId="3" fontId="1" fillId="0" borderId="70" xfId="0" applyNumberFormat="1" applyFont="1" applyFill="1" applyBorder="1" applyProtection="1">
      <protection locked="0"/>
    </xf>
    <xf numFmtId="4" fontId="3" fillId="0" borderId="71" xfId="0" applyNumberFormat="1" applyFont="1" applyFill="1" applyBorder="1"/>
    <xf numFmtId="0" fontId="6" fillId="0" borderId="68" xfId="0" applyFont="1" applyFill="1" applyBorder="1" applyProtection="1">
      <protection locked="0"/>
    </xf>
    <xf numFmtId="3" fontId="6" fillId="0" borderId="69" xfId="0" applyNumberFormat="1" applyFont="1" applyFill="1" applyBorder="1" applyProtection="1">
      <protection locked="0"/>
    </xf>
    <xf numFmtId="3" fontId="6" fillId="0" borderId="70" xfId="0" applyNumberFormat="1" applyFont="1" applyFill="1" applyBorder="1" applyProtection="1">
      <protection locked="0"/>
    </xf>
    <xf numFmtId="10" fontId="10" fillId="0" borderId="72" xfId="0" applyNumberFormat="1" applyFont="1" applyFill="1" applyBorder="1"/>
    <xf numFmtId="0" fontId="0" fillId="0" borderId="0" xfId="0" applyFill="1"/>
    <xf numFmtId="0" fontId="1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20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6"/>
  <sheetViews>
    <sheetView tabSelected="1" workbookViewId="0">
      <selection activeCell="C80" sqref="C80"/>
    </sheetView>
  </sheetViews>
  <sheetFormatPr baseColWidth="10" defaultRowHeight="15" x14ac:dyDescent="0.25"/>
  <cols>
    <col min="2" max="2" width="56.42578125" customWidth="1"/>
    <col min="3" max="3" width="22.140625" customWidth="1"/>
    <col min="4" max="4" width="17.140625" customWidth="1"/>
    <col min="5" max="5" width="19" customWidth="1"/>
  </cols>
  <sheetData>
    <row r="2" spans="2:5" ht="18.75" thickBot="1" x14ac:dyDescent="0.3">
      <c r="B2" s="229" t="s">
        <v>0</v>
      </c>
      <c r="C2" s="229"/>
      <c r="D2" s="229"/>
      <c r="E2" s="229"/>
    </row>
    <row r="3" spans="2:5" ht="17.25" thickTop="1" thickBot="1" x14ac:dyDescent="0.3">
      <c r="B3" s="1" t="s">
        <v>1</v>
      </c>
      <c r="C3" s="3"/>
      <c r="D3" s="3"/>
      <c r="E3" s="4" t="s">
        <v>2</v>
      </c>
    </row>
    <row r="4" spans="2:5" ht="16.5" thickTop="1" x14ac:dyDescent="0.25">
      <c r="B4" s="5" t="s">
        <v>3</v>
      </c>
      <c r="C4" s="3"/>
      <c r="D4" s="3"/>
      <c r="E4" s="2"/>
    </row>
    <row r="5" spans="2:5" ht="15.75" x14ac:dyDescent="0.25">
      <c r="B5" s="5" t="s">
        <v>4</v>
      </c>
      <c r="C5" s="3"/>
      <c r="D5" s="3"/>
      <c r="E5" s="2"/>
    </row>
    <row r="6" spans="2:5" ht="15.75" x14ac:dyDescent="0.25">
      <c r="B6" s="5" t="s">
        <v>5</v>
      </c>
      <c r="C6" s="3"/>
      <c r="D6" s="3"/>
      <c r="E6" s="2"/>
    </row>
    <row r="7" spans="2:5" ht="16.5" thickBot="1" x14ac:dyDescent="0.3">
      <c r="B7" s="3"/>
      <c r="C7" s="3"/>
      <c r="D7" s="3"/>
      <c r="E7" s="6"/>
    </row>
    <row r="8" spans="2:5" ht="15.75" x14ac:dyDescent="0.25">
      <c r="B8" s="7"/>
      <c r="C8" s="9" t="s">
        <v>6</v>
      </c>
      <c r="D8" s="10" t="s">
        <v>7</v>
      </c>
      <c r="E8" s="9" t="s">
        <v>6</v>
      </c>
    </row>
    <row r="9" spans="2:5" ht="16.5" thickBot="1" x14ac:dyDescent="0.3">
      <c r="B9" s="11"/>
      <c r="C9" s="13">
        <v>2019</v>
      </c>
      <c r="D9" s="12">
        <v>2019</v>
      </c>
      <c r="E9" s="13">
        <v>2020</v>
      </c>
    </row>
    <row r="10" spans="2:5" ht="16.5" thickTop="1" x14ac:dyDescent="0.25">
      <c r="B10" s="14"/>
      <c r="C10" s="16"/>
      <c r="D10" s="15"/>
      <c r="E10" s="16"/>
    </row>
    <row r="11" spans="2:5" ht="15.75" x14ac:dyDescent="0.25">
      <c r="B11" s="17" t="s">
        <v>8</v>
      </c>
      <c r="C11" s="19"/>
      <c r="D11" s="18"/>
      <c r="E11" s="19"/>
    </row>
    <row r="12" spans="2:5" ht="16.5" x14ac:dyDescent="0.25">
      <c r="B12" s="20" t="s">
        <v>9</v>
      </c>
      <c r="C12" s="19">
        <f>C13+C18</f>
        <v>13413592</v>
      </c>
      <c r="D12" s="21">
        <f>D13+D18</f>
        <v>12802256.01</v>
      </c>
      <c r="E12" s="23">
        <f>E13+E18</f>
        <v>14862197.16</v>
      </c>
    </row>
    <row r="13" spans="2:5" x14ac:dyDescent="0.25">
      <c r="B13" s="22" t="s">
        <v>10</v>
      </c>
      <c r="C13" s="23">
        <f>SUM(C14:C17)</f>
        <v>12200000</v>
      </c>
      <c r="D13" s="23">
        <f>SUM(D14:D17)</f>
        <v>12188961</v>
      </c>
      <c r="E13" s="23">
        <f>SUM(E14:E17)</f>
        <v>12750000</v>
      </c>
    </row>
    <row r="14" spans="2:5" x14ac:dyDescent="0.25">
      <c r="B14" s="24" t="s">
        <v>11</v>
      </c>
      <c r="C14" s="25">
        <v>200000</v>
      </c>
      <c r="D14" s="26"/>
      <c r="E14" s="25"/>
    </row>
    <row r="15" spans="2:5" x14ac:dyDescent="0.25">
      <c r="B15" s="24" t="s">
        <v>12</v>
      </c>
      <c r="C15" s="25">
        <v>12000000</v>
      </c>
      <c r="D15" s="26">
        <v>12000000</v>
      </c>
      <c r="E15" s="25">
        <v>12750000</v>
      </c>
    </row>
    <row r="16" spans="2:5" x14ac:dyDescent="0.25">
      <c r="B16" s="24" t="s">
        <v>13</v>
      </c>
      <c r="C16" s="25"/>
      <c r="D16" s="21">
        <f>62455+126506</f>
        <v>188961</v>
      </c>
      <c r="E16" s="25"/>
    </row>
    <row r="17" spans="2:5" x14ac:dyDescent="0.25">
      <c r="B17" s="24" t="s">
        <v>14</v>
      </c>
      <c r="C17" s="25"/>
      <c r="D17" s="26"/>
      <c r="E17" s="25"/>
    </row>
    <row r="18" spans="2:5" x14ac:dyDescent="0.25">
      <c r="B18" s="22" t="s">
        <v>15</v>
      </c>
      <c r="C18" s="21">
        <f>SUM(C19:C25)</f>
        <v>1213592</v>
      </c>
      <c r="D18" s="21">
        <f>SUM(D19:D25)</f>
        <v>613295.01</v>
      </c>
      <c r="E18" s="23">
        <f>+E22+E23+E24</f>
        <v>2112197.16</v>
      </c>
    </row>
    <row r="19" spans="2:5" x14ac:dyDescent="0.25">
      <c r="B19" s="27" t="s">
        <v>16</v>
      </c>
      <c r="C19" s="23"/>
      <c r="D19" s="21">
        <v>126939.6</v>
      </c>
      <c r="E19" s="23"/>
    </row>
    <row r="20" spans="2:5" x14ac:dyDescent="0.25">
      <c r="B20" s="27" t="s">
        <v>17</v>
      </c>
      <c r="C20" s="23"/>
      <c r="D20" s="21">
        <v>55276.73</v>
      </c>
      <c r="E20" s="23"/>
    </row>
    <row r="21" spans="2:5" x14ac:dyDescent="0.25">
      <c r="B21" s="27" t="s">
        <v>18</v>
      </c>
      <c r="C21" s="23"/>
      <c r="D21" s="21">
        <v>12098.44</v>
      </c>
      <c r="E21" s="23"/>
    </row>
    <row r="22" spans="2:5" x14ac:dyDescent="0.25">
      <c r="B22" s="27" t="s">
        <v>19</v>
      </c>
      <c r="C22" s="25"/>
      <c r="D22" s="26">
        <v>226745.16</v>
      </c>
      <c r="E22" s="25">
        <v>226745.16</v>
      </c>
    </row>
    <row r="23" spans="2:5" x14ac:dyDescent="0.25">
      <c r="B23" s="24" t="s">
        <v>20</v>
      </c>
      <c r="C23" s="25"/>
      <c r="D23" s="26">
        <v>192235.08</v>
      </c>
      <c r="E23" s="25">
        <v>1491120</v>
      </c>
    </row>
    <row r="24" spans="2:5" x14ac:dyDescent="0.25">
      <c r="B24" s="24" t="s">
        <v>21</v>
      </c>
      <c r="C24" s="25">
        <f>307221+906371</f>
        <v>1213592</v>
      </c>
      <c r="D24" s="26"/>
      <c r="E24" s="25">
        <v>394332</v>
      </c>
    </row>
    <row r="25" spans="2:5" x14ac:dyDescent="0.25">
      <c r="B25" s="24" t="s">
        <v>22</v>
      </c>
      <c r="C25" s="25"/>
      <c r="D25" s="26"/>
      <c r="E25" s="25"/>
    </row>
    <row r="26" spans="2:5" ht="16.5" x14ac:dyDescent="0.25">
      <c r="B26" s="20" t="s">
        <v>23</v>
      </c>
      <c r="C26" s="25"/>
      <c r="D26" s="26">
        <f>-D29-439883.6</f>
        <v>193239.82000000007</v>
      </c>
      <c r="E26" s="25">
        <f>-E29</f>
        <v>100000</v>
      </c>
    </row>
    <row r="27" spans="2:5" ht="16.5" x14ac:dyDescent="0.25">
      <c r="B27" s="20" t="s">
        <v>24</v>
      </c>
      <c r="C27" s="25"/>
      <c r="D27" s="26"/>
      <c r="E27" s="25"/>
    </row>
    <row r="28" spans="2:5" ht="16.5" x14ac:dyDescent="0.25">
      <c r="B28" s="28" t="s">
        <v>25</v>
      </c>
      <c r="C28" s="23">
        <f>SUM(C29:C32)</f>
        <v>-4905463.99</v>
      </c>
      <c r="D28" s="23">
        <f>SUM(D29:D32)</f>
        <v>-2982488.17</v>
      </c>
      <c r="E28" s="23">
        <f>SUM(E29:E32)</f>
        <v>-11036555.619999999</v>
      </c>
    </row>
    <row r="29" spans="2:5" x14ac:dyDescent="0.25">
      <c r="B29" s="22" t="s">
        <v>26</v>
      </c>
      <c r="C29" s="25"/>
      <c r="D29" s="25">
        <v>-633123.42000000004</v>
      </c>
      <c r="E29" s="25">
        <v>-100000</v>
      </c>
    </row>
    <row r="30" spans="2:5" x14ac:dyDescent="0.25">
      <c r="B30" s="29" t="s">
        <v>27</v>
      </c>
      <c r="C30" s="25">
        <v>-4905463.99</v>
      </c>
      <c r="D30" s="25">
        <v>-4349364.75</v>
      </c>
      <c r="E30" s="25">
        <v>-10936555.619999999</v>
      </c>
    </row>
    <row r="31" spans="2:5" x14ac:dyDescent="0.25">
      <c r="B31" s="29" t="s">
        <v>28</v>
      </c>
      <c r="C31" s="25"/>
      <c r="D31" s="25"/>
      <c r="E31" s="25"/>
    </row>
    <row r="32" spans="2:5" x14ac:dyDescent="0.25">
      <c r="B32" s="29" t="s">
        <v>29</v>
      </c>
      <c r="C32" s="25"/>
      <c r="D32" s="25">
        <v>2000000</v>
      </c>
      <c r="E32" s="25"/>
    </row>
    <row r="33" spans="2:5" ht="16.5" x14ac:dyDescent="0.25">
      <c r="B33" s="31" t="s">
        <v>30</v>
      </c>
      <c r="C33" s="23">
        <f>SUM(C34:C36)</f>
        <v>63842386.560000002</v>
      </c>
      <c r="D33" s="23">
        <f>SUM(D34:D36)</f>
        <v>61310767.300000012</v>
      </c>
      <c r="E33" s="25">
        <f>SUM(E34:E36)</f>
        <v>58902812.789999999</v>
      </c>
    </row>
    <row r="34" spans="2:5" x14ac:dyDescent="0.25">
      <c r="B34" s="29" t="s">
        <v>31</v>
      </c>
      <c r="C34" s="25"/>
      <c r="D34" s="25">
        <v>413000</v>
      </c>
      <c r="E34" s="23">
        <v>500000</v>
      </c>
    </row>
    <row r="35" spans="2:5" x14ac:dyDescent="0.25">
      <c r="B35" s="29" t="s">
        <v>32</v>
      </c>
      <c r="C35" s="25">
        <v>63642386.560000002</v>
      </c>
      <c r="D35" s="25">
        <v>60847767.300000012</v>
      </c>
      <c r="E35" s="25">
        <v>57024812.789999999</v>
      </c>
    </row>
    <row r="36" spans="2:5" x14ac:dyDescent="0.25">
      <c r="B36" s="29" t="s">
        <v>33</v>
      </c>
      <c r="C36" s="25">
        <v>200000</v>
      </c>
      <c r="D36" s="25">
        <v>50000</v>
      </c>
      <c r="E36" s="25">
        <f>1378000</f>
        <v>1378000</v>
      </c>
    </row>
    <row r="37" spans="2:5" ht="16.5" x14ac:dyDescent="0.25">
      <c r="B37" s="31" t="s">
        <v>34</v>
      </c>
      <c r="C37" s="23">
        <f>SUM(C38:C40)</f>
        <v>-15511414.01</v>
      </c>
      <c r="D37" s="23">
        <f>SUM(D38:D40)</f>
        <v>-15790437.719999999</v>
      </c>
      <c r="E37" s="23">
        <f>SUM(E38:E40)</f>
        <v>-16065767.77</v>
      </c>
    </row>
    <row r="38" spans="2:5" x14ac:dyDescent="0.25">
      <c r="B38" s="29" t="s">
        <v>35</v>
      </c>
      <c r="C38" s="25">
        <v>-12025704.109999999</v>
      </c>
      <c r="D38" s="25">
        <v>-12241599.5</v>
      </c>
      <c r="E38" s="25">
        <v>-12456845.24</v>
      </c>
    </row>
    <row r="39" spans="2:5" x14ac:dyDescent="0.25">
      <c r="B39" s="29" t="s">
        <v>36</v>
      </c>
      <c r="C39" s="25">
        <v>-3485709.9</v>
      </c>
      <c r="D39" s="25">
        <v>-3548838.2199999997</v>
      </c>
      <c r="E39" s="25">
        <v>-3608922.53</v>
      </c>
    </row>
    <row r="40" spans="2:5" x14ac:dyDescent="0.25">
      <c r="B40" s="29" t="s">
        <v>37</v>
      </c>
      <c r="C40" s="25"/>
      <c r="D40" s="25"/>
      <c r="E40" s="25"/>
    </row>
    <row r="41" spans="2:5" ht="16.5" x14ac:dyDescent="0.25">
      <c r="B41" s="31" t="s">
        <v>38</v>
      </c>
      <c r="C41" s="23">
        <f>SUM(C42:C45)</f>
        <v>-29502368.829999998</v>
      </c>
      <c r="D41" s="23">
        <f>SUM(D42:D45)</f>
        <v>-28747149.940000001</v>
      </c>
      <c r="E41" s="23">
        <f>SUM(E42:E45)</f>
        <v>-27106005.809999999</v>
      </c>
    </row>
    <row r="42" spans="2:5" x14ac:dyDescent="0.25">
      <c r="B42" s="29" t="s">
        <v>39</v>
      </c>
      <c r="C42" s="25">
        <f>-21002368.83-500000</f>
        <v>-21502368.829999998</v>
      </c>
      <c r="D42" s="25">
        <v>-18744149.940000001</v>
      </c>
      <c r="E42" s="25">
        <v>-20606005.809999999</v>
      </c>
    </row>
    <row r="43" spans="2:5" x14ac:dyDescent="0.25">
      <c r="B43" s="29" t="s">
        <v>40</v>
      </c>
      <c r="C43" s="25">
        <v>-6000000</v>
      </c>
      <c r="D43" s="25">
        <v>-6000000</v>
      </c>
      <c r="E43" s="25">
        <v>-6000000</v>
      </c>
    </row>
    <row r="44" spans="2:5" x14ac:dyDescent="0.25">
      <c r="B44" s="29" t="s">
        <v>41</v>
      </c>
      <c r="C44" s="25">
        <v>-2000000</v>
      </c>
      <c r="D44" s="25">
        <v>-4000000</v>
      </c>
      <c r="E44" s="25">
        <f>-1000000+500000</f>
        <v>-500000</v>
      </c>
    </row>
    <row r="45" spans="2:5" x14ac:dyDescent="0.25">
      <c r="B45" s="29" t="s">
        <v>42</v>
      </c>
      <c r="C45" s="25"/>
      <c r="D45" s="25">
        <v>-3000</v>
      </c>
      <c r="E45" s="25"/>
    </row>
    <row r="46" spans="2:5" ht="16.5" x14ac:dyDescent="0.25">
      <c r="B46" s="31" t="s">
        <v>43</v>
      </c>
      <c r="C46" s="23">
        <f>SUM(C47:C49)</f>
        <v>-12425000</v>
      </c>
      <c r="D46" s="23">
        <f>SUM(D47:D49)</f>
        <v>-12432000</v>
      </c>
      <c r="E46" s="23">
        <f>SUM(E47:E49)</f>
        <v>-14149105.23</v>
      </c>
    </row>
    <row r="47" spans="2:5" x14ac:dyDescent="0.25">
      <c r="B47" s="29" t="s">
        <v>44</v>
      </c>
      <c r="C47" s="25">
        <v>-75000</v>
      </c>
      <c r="D47" s="25">
        <v>-15000</v>
      </c>
      <c r="E47" s="25">
        <v>-28105.23</v>
      </c>
    </row>
    <row r="48" spans="2:5" x14ac:dyDescent="0.25">
      <c r="B48" s="29" t="s">
        <v>45</v>
      </c>
      <c r="C48" s="25">
        <v>-350000</v>
      </c>
      <c r="D48" s="25">
        <v>-417000</v>
      </c>
      <c r="E48" s="25">
        <v>-1121000</v>
      </c>
    </row>
    <row r="49" spans="2:5" x14ac:dyDescent="0.25">
      <c r="B49" s="29" t="s">
        <v>46</v>
      </c>
      <c r="C49" s="25">
        <v>-12000000</v>
      </c>
      <c r="D49" s="25">
        <v>-12000000</v>
      </c>
      <c r="E49" s="25">
        <v>-13000000</v>
      </c>
    </row>
    <row r="50" spans="2:5" ht="16.5" x14ac:dyDescent="0.25">
      <c r="B50" s="31" t="s">
        <v>47</v>
      </c>
      <c r="C50" s="25">
        <v>5000000</v>
      </c>
      <c r="D50" s="25">
        <v>7700000</v>
      </c>
      <c r="E50" s="25">
        <v>6360000</v>
      </c>
    </row>
    <row r="51" spans="2:5" ht="16.5" x14ac:dyDescent="0.25">
      <c r="B51" s="31" t="s">
        <v>48</v>
      </c>
      <c r="C51" s="25"/>
      <c r="D51" s="25">
        <v>3500000</v>
      </c>
      <c r="E51" s="25">
        <v>1000000</v>
      </c>
    </row>
    <row r="52" spans="2:5" ht="16.5" x14ac:dyDescent="0.25">
      <c r="B52" s="31" t="s">
        <v>49</v>
      </c>
      <c r="C52" s="23">
        <f>SUM(C53:C54)</f>
        <v>0</v>
      </c>
      <c r="D52" s="23">
        <f>SUM(D53:D54)</f>
        <v>1500000</v>
      </c>
      <c r="E52" s="23">
        <f>SUM(E53:E54)</f>
        <v>-300000</v>
      </c>
    </row>
    <row r="53" spans="2:5" x14ac:dyDescent="0.25">
      <c r="B53" s="29" t="s">
        <v>50</v>
      </c>
      <c r="C53" s="25"/>
      <c r="D53" s="23">
        <v>2000000</v>
      </c>
      <c r="E53" s="25"/>
    </row>
    <row r="54" spans="2:5" x14ac:dyDescent="0.25">
      <c r="B54" s="29" t="s">
        <v>51</v>
      </c>
      <c r="C54" s="25"/>
      <c r="D54" s="25">
        <v>-500000</v>
      </c>
      <c r="E54" s="25">
        <v>-300000</v>
      </c>
    </row>
    <row r="55" spans="2:5" ht="16.5" x14ac:dyDescent="0.25">
      <c r="B55" s="31" t="s">
        <v>52</v>
      </c>
      <c r="C55" s="33">
        <f>SUM(C56:C57)</f>
        <v>0</v>
      </c>
      <c r="D55" s="34">
        <f>SUM(D56:D57)</f>
        <v>0</v>
      </c>
      <c r="E55" s="33">
        <f>SUM(E56:E57)</f>
        <v>0</v>
      </c>
    </row>
    <row r="56" spans="2:5" x14ac:dyDescent="0.25">
      <c r="B56" s="29" t="s">
        <v>53</v>
      </c>
      <c r="C56" s="25"/>
      <c r="D56" s="26"/>
      <c r="E56" s="25"/>
    </row>
    <row r="57" spans="2:5" x14ac:dyDescent="0.25">
      <c r="B57" s="29" t="s">
        <v>54</v>
      </c>
      <c r="C57" s="25"/>
      <c r="D57" s="35"/>
      <c r="E57" s="25"/>
    </row>
    <row r="58" spans="2:5" ht="16.5" x14ac:dyDescent="0.25">
      <c r="B58" s="36" t="s">
        <v>55</v>
      </c>
      <c r="C58" s="37">
        <f>C12+C26+C27+C28+C33+C37+C41+C46+C50+C51+C52+C55</f>
        <v>19911731.730000012</v>
      </c>
      <c r="D58" s="38">
        <f>D12+D26+D27+D28+D33+D37+D41+D46+D50+D51+D52+D55</f>
        <v>27054187.300000008</v>
      </c>
      <c r="E58" s="37">
        <f>E12+E26+E27+E28+E33+E37+E41+E46+E50+E51+E52+E55</f>
        <v>12567575.520000003</v>
      </c>
    </row>
    <row r="59" spans="2:5" ht="16.5" x14ac:dyDescent="0.25">
      <c r="B59" s="39" t="s">
        <v>56</v>
      </c>
      <c r="C59" s="41">
        <f>C60+C63+C66</f>
        <v>200000</v>
      </c>
      <c r="D59" s="42">
        <f>D60+D63+D66</f>
        <v>200000</v>
      </c>
      <c r="E59" s="41">
        <f>E60+E63+E66</f>
        <v>100000</v>
      </c>
    </row>
    <row r="60" spans="2:5" x14ac:dyDescent="0.25">
      <c r="B60" s="29" t="s">
        <v>57</v>
      </c>
      <c r="C60" s="23">
        <f>SUM(C61:C62)</f>
        <v>0</v>
      </c>
      <c r="D60" s="21">
        <f>SUM(D61:D62)</f>
        <v>0</v>
      </c>
      <c r="E60" s="23">
        <f>SUM(E61:E62)</f>
        <v>0</v>
      </c>
    </row>
    <row r="61" spans="2:5" x14ac:dyDescent="0.25">
      <c r="B61" s="29" t="s">
        <v>58</v>
      </c>
      <c r="C61" s="25"/>
      <c r="D61" s="26"/>
      <c r="E61" s="25"/>
    </row>
    <row r="62" spans="2:5" x14ac:dyDescent="0.25">
      <c r="B62" s="29" t="s">
        <v>59</v>
      </c>
      <c r="C62" s="25"/>
      <c r="D62" s="26"/>
      <c r="E62" s="25"/>
    </row>
    <row r="63" spans="2:5" x14ac:dyDescent="0.25">
      <c r="B63" s="29" t="s">
        <v>60</v>
      </c>
      <c r="C63" s="23">
        <f>SUM(C64:C65)</f>
        <v>200000</v>
      </c>
      <c r="D63" s="21">
        <f>SUM(D64:D65)</f>
        <v>200000</v>
      </c>
      <c r="E63" s="23">
        <f>SUM(E64:E65)</f>
        <v>100000</v>
      </c>
    </row>
    <row r="64" spans="2:5" x14ac:dyDescent="0.25">
      <c r="B64" s="29" t="s">
        <v>61</v>
      </c>
      <c r="C64" s="25"/>
      <c r="D64" s="26"/>
      <c r="E64" s="25"/>
    </row>
    <row r="65" spans="2:5" x14ac:dyDescent="0.25">
      <c r="B65" s="29" t="s">
        <v>62</v>
      </c>
      <c r="C65" s="25">
        <v>200000</v>
      </c>
      <c r="D65" s="26">
        <v>200000</v>
      </c>
      <c r="E65" s="25">
        <v>100000</v>
      </c>
    </row>
    <row r="66" spans="2:5" x14ac:dyDescent="0.25">
      <c r="B66" s="29" t="s">
        <v>63</v>
      </c>
      <c r="C66" s="43"/>
      <c r="D66" s="26"/>
      <c r="E66" s="43"/>
    </row>
    <row r="67" spans="2:5" ht="16.5" x14ac:dyDescent="0.25">
      <c r="B67" s="31" t="s">
        <v>64</v>
      </c>
      <c r="C67" s="41">
        <f>SUM(C68:C70)</f>
        <v>-601248.48</v>
      </c>
      <c r="D67" s="42">
        <f>SUM(D68:D70)</f>
        <v>-601248.48</v>
      </c>
      <c r="E67" s="41">
        <f>SUM(E68:E70)</f>
        <v>-150000</v>
      </c>
    </row>
    <row r="68" spans="2:5" x14ac:dyDescent="0.25">
      <c r="B68" s="29" t="s">
        <v>65</v>
      </c>
      <c r="C68" s="25"/>
      <c r="D68" s="35"/>
      <c r="E68" s="25"/>
    </row>
    <row r="69" spans="2:5" x14ac:dyDescent="0.25">
      <c r="B69" s="29" t="s">
        <v>66</v>
      </c>
      <c r="C69" s="25">
        <v>-601248.48</v>
      </c>
      <c r="D69" s="35">
        <v>-601248.48</v>
      </c>
      <c r="E69" s="25">
        <v>-150000</v>
      </c>
    </row>
    <row r="70" spans="2:5" x14ac:dyDescent="0.25">
      <c r="B70" s="29" t="s">
        <v>67</v>
      </c>
      <c r="C70" s="25"/>
      <c r="D70" s="35"/>
      <c r="E70" s="25"/>
    </row>
    <row r="71" spans="2:5" ht="16.5" x14ac:dyDescent="0.25">
      <c r="B71" s="31" t="s">
        <v>68</v>
      </c>
      <c r="C71" s="41">
        <f>SUM(C72:C73)</f>
        <v>0</v>
      </c>
      <c r="D71" s="42">
        <f>SUM(D72:D73)</f>
        <v>0</v>
      </c>
      <c r="E71" s="41">
        <f>SUM(E72:E73)</f>
        <v>0</v>
      </c>
    </row>
    <row r="72" spans="2:5" x14ac:dyDescent="0.25">
      <c r="B72" s="29" t="s">
        <v>69</v>
      </c>
      <c r="C72" s="25"/>
      <c r="D72" s="26"/>
      <c r="E72" s="25"/>
    </row>
    <row r="73" spans="2:5" x14ac:dyDescent="0.25">
      <c r="B73" s="29" t="s">
        <v>70</v>
      </c>
      <c r="C73" s="25"/>
      <c r="D73" s="26"/>
      <c r="E73" s="25"/>
    </row>
    <row r="74" spans="2:5" ht="16.5" x14ac:dyDescent="0.25">
      <c r="B74" s="31" t="s">
        <v>71</v>
      </c>
      <c r="C74" s="25"/>
      <c r="D74" s="26"/>
      <c r="E74" s="25"/>
    </row>
    <row r="75" spans="2:5" ht="16.5" x14ac:dyDescent="0.25">
      <c r="B75" s="31" t="s">
        <v>72</v>
      </c>
      <c r="C75" s="23">
        <f>SUM(C76:C77)</f>
        <v>0</v>
      </c>
      <c r="D75" s="21">
        <f>SUM(D76:D77)</f>
        <v>0</v>
      </c>
      <c r="E75" s="23">
        <f>SUM(E76:E77)</f>
        <v>0</v>
      </c>
    </row>
    <row r="76" spans="2:5" x14ac:dyDescent="0.25">
      <c r="B76" s="29" t="s">
        <v>50</v>
      </c>
      <c r="C76" s="25"/>
      <c r="D76" s="26"/>
      <c r="E76" s="25"/>
    </row>
    <row r="77" spans="2:5" x14ac:dyDescent="0.25">
      <c r="B77" s="29" t="s">
        <v>73</v>
      </c>
      <c r="C77" s="44"/>
      <c r="D77" s="45"/>
      <c r="E77" s="44"/>
    </row>
    <row r="78" spans="2:5" ht="16.5" x14ac:dyDescent="0.25">
      <c r="B78" s="46" t="s">
        <v>74</v>
      </c>
      <c r="C78" s="37">
        <f>C59+C67+C71+C74+C75</f>
        <v>-401248.48</v>
      </c>
      <c r="D78" s="38">
        <f>D59+D67+D71+D74+D75</f>
        <v>-401248.48</v>
      </c>
      <c r="E78" s="37">
        <f>E59+E67+E71+E74+E75</f>
        <v>-50000</v>
      </c>
    </row>
    <row r="79" spans="2:5" ht="16.5" x14ac:dyDescent="0.25">
      <c r="B79" s="46" t="s">
        <v>75</v>
      </c>
      <c r="C79" s="37">
        <f>C58+C78</f>
        <v>19510483.250000011</v>
      </c>
      <c r="D79" s="38">
        <f>D58+D78</f>
        <v>26652938.820000008</v>
      </c>
      <c r="E79" s="37">
        <f>E58+E78</f>
        <v>12517575.520000003</v>
      </c>
    </row>
    <row r="80" spans="2:5" ht="16.5" x14ac:dyDescent="0.25">
      <c r="B80" s="31" t="s">
        <v>76</v>
      </c>
      <c r="C80" s="44"/>
      <c r="D80" s="45">
        <v>-189993.75</v>
      </c>
      <c r="E80" s="44">
        <v>-165341.26999999999</v>
      </c>
    </row>
    <row r="81" spans="2:5" ht="16.5" x14ac:dyDescent="0.25">
      <c r="B81" s="46" t="s">
        <v>77</v>
      </c>
      <c r="C81" s="37">
        <f>C79+C80</f>
        <v>19510483.250000011</v>
      </c>
      <c r="D81" s="38">
        <f>D79+D80</f>
        <v>26462945.070000008</v>
      </c>
      <c r="E81" s="37">
        <f>E79+E80</f>
        <v>12352234.250000004</v>
      </c>
    </row>
    <row r="82" spans="2:5" ht="16.5" x14ac:dyDescent="0.25">
      <c r="B82" s="47"/>
      <c r="C82" s="41"/>
      <c r="D82" s="42"/>
      <c r="E82" s="41"/>
    </row>
    <row r="83" spans="2:5" ht="15.75" x14ac:dyDescent="0.25">
      <c r="B83" s="48" t="s">
        <v>78</v>
      </c>
      <c r="C83" s="23"/>
      <c r="D83" s="21"/>
      <c r="E83" s="23"/>
    </row>
    <row r="84" spans="2:5" ht="16.5" x14ac:dyDescent="0.25">
      <c r="B84" s="31" t="s">
        <v>79</v>
      </c>
      <c r="C84" s="25"/>
      <c r="D84" s="26"/>
      <c r="E84" s="25"/>
    </row>
    <row r="85" spans="2:5" ht="17.25" thickBot="1" x14ac:dyDescent="0.3">
      <c r="B85" s="31"/>
      <c r="C85" s="49"/>
      <c r="D85" s="50"/>
      <c r="E85" s="49"/>
    </row>
    <row r="86" spans="2:5" ht="19.5" thickTop="1" thickBot="1" x14ac:dyDescent="0.3">
      <c r="B86" s="51" t="s">
        <v>80</v>
      </c>
      <c r="C86" s="52">
        <f>C81+C84</f>
        <v>19510483.250000011</v>
      </c>
      <c r="D86" s="53">
        <f>D81+D84</f>
        <v>26462945.070000008</v>
      </c>
      <c r="E86" s="52">
        <f>E81+E84</f>
        <v>12352234.250000004</v>
      </c>
    </row>
  </sheetData>
  <mergeCells count="1">
    <mergeCell ref="B2:E2"/>
  </mergeCells>
  <conditionalFormatting sqref="D64:E66 D61:E62 D56:E56 E50:E51 D27:E27 D22:E25 D14:E15 D17:E17 E16">
    <cfRule type="cellIs" dxfId="19" priority="8" stopIfTrue="1" operator="lessThan">
      <formula>0</formula>
    </cfRule>
  </conditionalFormatting>
  <conditionalFormatting sqref="D68:E70 D57:E57 E47:E49 E45 E42 E31">
    <cfRule type="cellIs" dxfId="18" priority="9" stopIfTrue="1" operator="greaterThan">
      <formula>0</formula>
    </cfRule>
  </conditionalFormatting>
  <conditionalFormatting sqref="C64:C66 C61:C62 C56 C50:C51 C34:C36 C27 C14:C17 C22:C25">
    <cfRule type="cellIs" dxfId="17" priority="6" stopIfTrue="1" operator="lessThan">
      <formula>0</formula>
    </cfRule>
  </conditionalFormatting>
  <conditionalFormatting sqref="C68:C70 C57 C47:C49 C45 C42 C38:C39 C31">
    <cfRule type="cellIs" dxfId="16" priority="7" stopIfTrue="1" operator="greaterThan">
      <formula>0</formula>
    </cfRule>
  </conditionalFormatting>
  <conditionalFormatting sqref="D50:D51 D34:D36">
    <cfRule type="cellIs" dxfId="15" priority="4" stopIfTrue="1" operator="lessThan">
      <formula>0</formula>
    </cfRule>
  </conditionalFormatting>
  <conditionalFormatting sqref="D47:D49 D45 D42 D38:D39 D31">
    <cfRule type="cellIs" dxfId="14" priority="5" stopIfTrue="1" operator="greaterThan">
      <formula>0</formula>
    </cfRule>
  </conditionalFormatting>
  <conditionalFormatting sqref="E38:E39">
    <cfRule type="cellIs" dxfId="13" priority="3" stopIfTrue="1" operator="greaterThan">
      <formula>0</formula>
    </cfRule>
  </conditionalFormatting>
  <conditionalFormatting sqref="D26">
    <cfRule type="cellIs" dxfId="12" priority="2" stopIfTrue="1" operator="lessThan">
      <formula>0</formula>
    </cfRule>
  </conditionalFormatting>
  <conditionalFormatting sqref="E35:E36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0"/>
  <sheetViews>
    <sheetView topLeftCell="C37" workbookViewId="0">
      <selection activeCell="H22" sqref="H22"/>
    </sheetView>
  </sheetViews>
  <sheetFormatPr baseColWidth="10" defaultRowHeight="15" x14ac:dyDescent="0.25"/>
  <cols>
    <col min="2" max="2" width="52.140625" customWidth="1"/>
    <col min="3" max="3" width="17.28515625" bestFit="1" customWidth="1"/>
    <col min="4" max="4" width="17.42578125" customWidth="1"/>
    <col min="5" max="5" width="17" customWidth="1"/>
    <col min="6" max="6" width="45.140625" customWidth="1"/>
    <col min="7" max="8" width="17.28515625" bestFit="1" customWidth="1"/>
    <col min="9" max="9" width="16.42578125" bestFit="1" customWidth="1"/>
  </cols>
  <sheetData>
    <row r="2" spans="2:9" ht="15.75" thickBot="1" x14ac:dyDescent="0.3"/>
    <row r="3" spans="2:9" ht="19.5" thickTop="1" thickBot="1" x14ac:dyDescent="0.3">
      <c r="B3" s="54" t="s">
        <v>1</v>
      </c>
      <c r="C3" s="55"/>
      <c r="D3" s="56" t="s">
        <v>81</v>
      </c>
      <c r="E3" s="55"/>
      <c r="F3" s="55"/>
      <c r="G3" s="55"/>
      <c r="H3" s="55"/>
      <c r="I3" s="57" t="s">
        <v>82</v>
      </c>
    </row>
    <row r="4" spans="2:9" ht="16.5" thickTop="1" x14ac:dyDescent="0.25">
      <c r="B4" s="58" t="s">
        <v>3</v>
      </c>
      <c r="C4" s="54"/>
      <c r="D4" s="55"/>
      <c r="E4" s="59"/>
      <c r="F4" s="59"/>
      <c r="G4" s="59"/>
      <c r="H4" s="59"/>
      <c r="I4" s="59"/>
    </row>
    <row r="5" spans="2:9" ht="15.75" x14ac:dyDescent="0.25">
      <c r="B5" s="58" t="s">
        <v>4</v>
      </c>
      <c r="C5" s="54"/>
      <c r="D5" s="59"/>
      <c r="E5" s="60"/>
      <c r="F5" s="59"/>
      <c r="G5" s="59"/>
      <c r="H5" s="54"/>
      <c r="I5" s="59"/>
    </row>
    <row r="6" spans="2:9" ht="15.75" x14ac:dyDescent="0.25">
      <c r="B6" s="58" t="s">
        <v>5</v>
      </c>
      <c r="C6" s="54"/>
      <c r="D6" s="59"/>
      <c r="E6" s="54"/>
      <c r="F6" s="59"/>
      <c r="G6" s="59"/>
      <c r="H6" s="54"/>
      <c r="I6" s="59"/>
    </row>
    <row r="7" spans="2:9" ht="16.5" thickBot="1" x14ac:dyDescent="0.3">
      <c r="B7" s="54"/>
      <c r="C7" s="55"/>
      <c r="D7" s="59"/>
      <c r="E7" s="54"/>
      <c r="F7" s="59"/>
      <c r="G7" s="59"/>
      <c r="H7" s="54"/>
      <c r="I7" s="59"/>
    </row>
    <row r="8" spans="2:9" ht="15.75" x14ac:dyDescent="0.25">
      <c r="B8" s="230" t="s">
        <v>83</v>
      </c>
      <c r="C8" s="61" t="s">
        <v>6</v>
      </c>
      <c r="D8" s="61" t="s">
        <v>7</v>
      </c>
      <c r="E8" s="61" t="s">
        <v>6</v>
      </c>
      <c r="F8" s="232" t="s">
        <v>84</v>
      </c>
      <c r="G8" s="61" t="s">
        <v>6</v>
      </c>
      <c r="H8" s="61" t="s">
        <v>7</v>
      </c>
      <c r="I8" s="62" t="s">
        <v>6</v>
      </c>
    </row>
    <row r="9" spans="2:9" ht="16.5" thickBot="1" x14ac:dyDescent="0.3">
      <c r="B9" s="231"/>
      <c r="C9" s="63">
        <v>2019</v>
      </c>
      <c r="D9" s="63">
        <v>2019</v>
      </c>
      <c r="E9" s="64">
        <v>2020</v>
      </c>
      <c r="F9" s="233"/>
      <c r="G9" s="63">
        <f>C9</f>
        <v>2019</v>
      </c>
      <c r="H9" s="63">
        <f>D9</f>
        <v>2019</v>
      </c>
      <c r="I9" s="65">
        <f>E9</f>
        <v>2020</v>
      </c>
    </row>
    <row r="10" spans="2:9" ht="17.25" thickTop="1" x14ac:dyDescent="0.3">
      <c r="B10" s="66"/>
      <c r="C10" s="67"/>
      <c r="D10" s="67"/>
      <c r="E10" s="67"/>
      <c r="F10" s="68"/>
      <c r="G10" s="69"/>
      <c r="H10" s="69"/>
      <c r="I10" s="70"/>
    </row>
    <row r="11" spans="2:9" ht="15.75" x14ac:dyDescent="0.25">
      <c r="B11" s="71" t="s">
        <v>85</v>
      </c>
      <c r="C11" s="72">
        <f>C12+C17+C23+C26</f>
        <v>99018212.945999995</v>
      </c>
      <c r="D11" s="72">
        <f>D12+D17+D23+D26</f>
        <v>72250755.540000007</v>
      </c>
      <c r="E11" s="72">
        <f>E12+E17+E23+E26</f>
        <v>115387012.17</v>
      </c>
      <c r="F11" s="73" t="s">
        <v>86</v>
      </c>
      <c r="G11" s="72">
        <f>SUM(G12:G23)</f>
        <v>30935683.250000015</v>
      </c>
      <c r="H11" s="72">
        <f>SUM(H12:H23)</f>
        <v>31900433.660000004</v>
      </c>
      <c r="I11" s="74">
        <f>SUM(I12:I23)</f>
        <v>20014180.750000004</v>
      </c>
    </row>
    <row r="12" spans="2:9" x14ac:dyDescent="0.25">
      <c r="B12" s="75" t="s">
        <v>87</v>
      </c>
      <c r="C12" s="76">
        <f>SUM(C13:C16)</f>
        <v>160000</v>
      </c>
      <c r="D12" s="76">
        <f>SUM(D13:D16)</f>
        <v>0</v>
      </c>
      <c r="E12" s="76">
        <f>SUM(E13:E16)</f>
        <v>132873.97</v>
      </c>
      <c r="F12" s="77" t="s">
        <v>88</v>
      </c>
      <c r="G12" s="76">
        <v>19510483.250000011</v>
      </c>
      <c r="H12" s="76">
        <v>26462945.070000008</v>
      </c>
      <c r="I12" s="78">
        <v>12352234.250000004</v>
      </c>
    </row>
    <row r="13" spans="2:9" x14ac:dyDescent="0.25">
      <c r="B13" s="75" t="s">
        <v>89</v>
      </c>
      <c r="C13" s="76"/>
      <c r="D13" s="79"/>
      <c r="E13" s="79"/>
      <c r="F13" s="77" t="s">
        <v>90</v>
      </c>
      <c r="G13" s="76">
        <v>12425000</v>
      </c>
      <c r="H13" s="76">
        <v>12432000</v>
      </c>
      <c r="I13" s="78">
        <v>14149105.23</v>
      </c>
    </row>
    <row r="14" spans="2:9" x14ac:dyDescent="0.25">
      <c r="B14" s="75" t="s">
        <v>91</v>
      </c>
      <c r="C14" s="76"/>
      <c r="D14" s="79"/>
      <c r="E14" s="79"/>
      <c r="F14" s="77" t="s">
        <v>92</v>
      </c>
      <c r="G14" s="76">
        <v>0</v>
      </c>
      <c r="H14" s="76">
        <v>-4000000</v>
      </c>
      <c r="I14" s="78">
        <v>0</v>
      </c>
    </row>
    <row r="15" spans="2:9" x14ac:dyDescent="0.25">
      <c r="B15" s="75" t="s">
        <v>93</v>
      </c>
      <c r="C15" s="76">
        <v>160000</v>
      </c>
      <c r="D15" s="79"/>
      <c r="E15" s="76">
        <v>132873.97</v>
      </c>
      <c r="F15" s="77" t="s">
        <v>94</v>
      </c>
      <c r="G15" s="76">
        <v>2000000</v>
      </c>
      <c r="H15" s="76">
        <v>500000</v>
      </c>
      <c r="I15" s="78">
        <v>-500000</v>
      </c>
    </row>
    <row r="16" spans="2:9" x14ac:dyDescent="0.25">
      <c r="B16" s="75" t="s">
        <v>95</v>
      </c>
      <c r="C16" s="76"/>
      <c r="D16" s="79"/>
      <c r="E16" s="79"/>
      <c r="F16" s="77" t="s">
        <v>96</v>
      </c>
      <c r="G16" s="76">
        <v>-5000000</v>
      </c>
      <c r="H16" s="76">
        <v>-7700000</v>
      </c>
      <c r="I16" s="78">
        <v>-6360000</v>
      </c>
    </row>
    <row r="17" spans="2:9" x14ac:dyDescent="0.25">
      <c r="B17" s="75" t="s">
        <v>97</v>
      </c>
      <c r="C17" s="76">
        <f>SUM(C18:C22)</f>
        <v>1003615.3200000001</v>
      </c>
      <c r="D17" s="76">
        <f>SUM(D18:D22)</f>
        <v>2912090.64</v>
      </c>
      <c r="E17" s="76">
        <f>SUM(E18:E22)</f>
        <v>310000</v>
      </c>
      <c r="F17" s="77" t="s">
        <v>98</v>
      </c>
      <c r="G17" s="76">
        <v>0</v>
      </c>
      <c r="H17" s="76">
        <v>500000</v>
      </c>
      <c r="I17" s="78">
        <v>300000</v>
      </c>
    </row>
    <row r="18" spans="2:9" x14ac:dyDescent="0.25">
      <c r="B18" s="75" t="s">
        <v>99</v>
      </c>
      <c r="C18" s="76"/>
      <c r="D18" s="79">
        <v>76388.08</v>
      </c>
      <c r="E18" s="79"/>
      <c r="F18" s="77" t="s">
        <v>100</v>
      </c>
      <c r="G18" s="76">
        <v>0</v>
      </c>
      <c r="H18" s="76">
        <v>0</v>
      </c>
      <c r="I18" s="78">
        <v>0</v>
      </c>
    </row>
    <row r="19" spans="2:9" x14ac:dyDescent="0.25">
      <c r="B19" s="75" t="s">
        <v>101</v>
      </c>
      <c r="C19" s="76">
        <v>523615.32</v>
      </c>
      <c r="D19" s="79"/>
      <c r="E19" s="79"/>
      <c r="F19" s="77" t="s">
        <v>102</v>
      </c>
      <c r="G19" s="76">
        <v>0</v>
      </c>
      <c r="H19" s="76">
        <v>0</v>
      </c>
      <c r="I19" s="78">
        <v>0</v>
      </c>
    </row>
    <row r="20" spans="2:9" x14ac:dyDescent="0.25">
      <c r="B20" s="75" t="s">
        <v>103</v>
      </c>
      <c r="C20" s="76">
        <v>480000</v>
      </c>
      <c r="D20" s="79">
        <v>2835702.56</v>
      </c>
      <c r="E20" s="79">
        <v>310000</v>
      </c>
      <c r="F20" s="77" t="s">
        <v>104</v>
      </c>
      <c r="G20" s="76">
        <v>0</v>
      </c>
      <c r="H20" s="76">
        <v>0</v>
      </c>
      <c r="I20" s="78">
        <v>0</v>
      </c>
    </row>
    <row r="21" spans="2:9" x14ac:dyDescent="0.25">
      <c r="B21" s="75" t="s">
        <v>105</v>
      </c>
      <c r="C21" s="76"/>
      <c r="D21" s="79"/>
      <c r="E21" s="79"/>
      <c r="F21" s="77" t="s">
        <v>106</v>
      </c>
      <c r="G21" s="76">
        <v>2000000</v>
      </c>
      <c r="H21" s="76">
        <v>3502921.8099999949</v>
      </c>
      <c r="I21" s="76">
        <v>-100000</v>
      </c>
    </row>
    <row r="22" spans="2:9" x14ac:dyDescent="0.25">
      <c r="B22" s="75" t="s">
        <v>107</v>
      </c>
      <c r="C22" s="76"/>
      <c r="D22" s="79"/>
      <c r="E22" s="79"/>
      <c r="F22" s="77" t="s">
        <v>108</v>
      </c>
      <c r="G22" s="76">
        <v>200</v>
      </c>
      <c r="H22" s="76">
        <v>202566.78</v>
      </c>
      <c r="I22" s="78">
        <v>172841.27</v>
      </c>
    </row>
    <row r="23" spans="2:9" x14ac:dyDescent="0.25">
      <c r="B23" s="75" t="s">
        <v>109</v>
      </c>
      <c r="C23" s="76">
        <f>SUM(C24:C25)</f>
        <v>97654597.626000002</v>
      </c>
      <c r="D23" s="76">
        <f>SUM(D24:D25)</f>
        <v>68838664.900000006</v>
      </c>
      <c r="E23" s="76">
        <f>SUM(E24:E25)</f>
        <v>114444138.2</v>
      </c>
      <c r="F23" s="77" t="s">
        <v>110</v>
      </c>
      <c r="G23" s="76">
        <v>0</v>
      </c>
      <c r="H23" s="76">
        <v>0</v>
      </c>
      <c r="I23" s="78">
        <v>0</v>
      </c>
    </row>
    <row r="24" spans="2:9" x14ac:dyDescent="0.25">
      <c r="B24" s="75" t="s">
        <v>111</v>
      </c>
      <c r="C24" s="76"/>
      <c r="D24" s="79">
        <v>600000</v>
      </c>
      <c r="E24" s="79">
        <v>10000000</v>
      </c>
      <c r="F24" s="80"/>
      <c r="G24" s="81"/>
      <c r="H24" s="81"/>
      <c r="I24" s="82"/>
    </row>
    <row r="25" spans="2:9" ht="15.75" x14ac:dyDescent="0.25">
      <c r="B25" s="75" t="s">
        <v>112</v>
      </c>
      <c r="C25" s="76">
        <v>97654597.626000002</v>
      </c>
      <c r="D25" s="79">
        <v>68238664.900000006</v>
      </c>
      <c r="E25" s="79">
        <v>104444138.2</v>
      </c>
      <c r="F25" s="73" t="s">
        <v>113</v>
      </c>
      <c r="G25" s="72">
        <f>SUM(G26:G27)</f>
        <v>0</v>
      </c>
      <c r="H25" s="72">
        <f>SUM(H26:H27)</f>
        <v>0</v>
      </c>
      <c r="I25" s="74">
        <f>SUM(I26:I27)</f>
        <v>0</v>
      </c>
    </row>
    <row r="26" spans="2:9" x14ac:dyDescent="0.25">
      <c r="B26" s="75" t="s">
        <v>114</v>
      </c>
      <c r="C26" s="76">
        <f>SUM(C27:C32)</f>
        <v>200000</v>
      </c>
      <c r="D26" s="76">
        <f>SUM(D27:D32)</f>
        <v>500000</v>
      </c>
      <c r="E26" s="76">
        <f>SUM(E27:E32)</f>
        <v>500000</v>
      </c>
      <c r="F26" s="77" t="s">
        <v>115</v>
      </c>
      <c r="G26" s="76"/>
      <c r="H26" s="79"/>
      <c r="I26" s="83"/>
    </row>
    <row r="27" spans="2:9" x14ac:dyDescent="0.25">
      <c r="B27" s="22" t="s">
        <v>116</v>
      </c>
      <c r="C27" s="76"/>
      <c r="D27" s="79"/>
      <c r="E27" s="79"/>
      <c r="F27" s="77" t="s">
        <v>117</v>
      </c>
      <c r="G27" s="76"/>
      <c r="H27" s="79"/>
      <c r="I27" s="83"/>
    </row>
    <row r="28" spans="2:9" x14ac:dyDescent="0.25">
      <c r="B28" s="22" t="s">
        <v>118</v>
      </c>
      <c r="C28" s="76"/>
      <c r="D28" s="79"/>
      <c r="E28" s="79"/>
      <c r="F28" s="77"/>
      <c r="G28" s="76"/>
      <c r="H28" s="76"/>
      <c r="I28" s="78"/>
    </row>
    <row r="29" spans="2:9" ht="15.75" x14ac:dyDescent="0.25">
      <c r="B29" s="22" t="s">
        <v>119</v>
      </c>
      <c r="C29" s="76"/>
      <c r="D29" s="79"/>
      <c r="E29" s="79"/>
      <c r="F29" s="73" t="s">
        <v>120</v>
      </c>
      <c r="G29" s="72">
        <f>SUM(G30:G32)</f>
        <v>77200000</v>
      </c>
      <c r="H29" s="72">
        <f>SUM(H30:H32)</f>
        <v>75997500</v>
      </c>
      <c r="I29" s="74">
        <f>SUM(I30:I32)</f>
        <v>66136508.399999999</v>
      </c>
    </row>
    <row r="30" spans="2:9" x14ac:dyDescent="0.25">
      <c r="B30" s="22" t="s">
        <v>121</v>
      </c>
      <c r="C30" s="76"/>
      <c r="D30" s="79"/>
      <c r="E30" s="79"/>
      <c r="F30" s="77" t="s">
        <v>122</v>
      </c>
      <c r="G30" s="76">
        <v>77200000</v>
      </c>
      <c r="H30" s="79">
        <v>75997500</v>
      </c>
      <c r="I30" s="83">
        <f>49760000+500000</f>
        <v>50260000</v>
      </c>
    </row>
    <row r="31" spans="2:9" x14ac:dyDescent="0.25">
      <c r="B31" s="22" t="s">
        <v>123</v>
      </c>
      <c r="C31" s="76"/>
      <c r="D31" s="79"/>
      <c r="E31" s="79"/>
      <c r="F31" s="77" t="s">
        <v>124</v>
      </c>
      <c r="G31" s="76"/>
      <c r="H31" s="79"/>
      <c r="I31" s="83">
        <v>5876508.4000000004</v>
      </c>
    </row>
    <row r="32" spans="2:9" x14ac:dyDescent="0.25">
      <c r="B32" s="22" t="s">
        <v>125</v>
      </c>
      <c r="C32" s="76">
        <v>200000</v>
      </c>
      <c r="D32" s="79">
        <v>500000</v>
      </c>
      <c r="E32" s="79">
        <v>500000</v>
      </c>
      <c r="F32" s="77" t="s">
        <v>126</v>
      </c>
      <c r="G32" s="76"/>
      <c r="H32" s="79"/>
      <c r="I32" s="83">
        <v>10000000</v>
      </c>
    </row>
    <row r="33" spans="2:9" ht="15.75" x14ac:dyDescent="0.25">
      <c r="B33" s="29"/>
      <c r="C33" s="76"/>
      <c r="D33" s="76"/>
      <c r="E33" s="76"/>
      <c r="F33" s="84"/>
      <c r="G33" s="85"/>
      <c r="H33" s="85"/>
      <c r="I33" s="86"/>
    </row>
    <row r="34" spans="2:9" ht="15.75" x14ac:dyDescent="0.25">
      <c r="B34" s="87"/>
      <c r="C34" s="76"/>
      <c r="D34" s="76"/>
      <c r="E34" s="76"/>
      <c r="F34" s="73" t="s">
        <v>127</v>
      </c>
      <c r="G34" s="72">
        <f>SUM(G35:G37)</f>
        <v>0</v>
      </c>
      <c r="H34" s="72">
        <f>SUM(H35:H37)</f>
        <v>0</v>
      </c>
      <c r="I34" s="74">
        <f>SUM(I35:I37)</f>
        <v>0</v>
      </c>
    </row>
    <row r="35" spans="2:9" ht="15.75" x14ac:dyDescent="0.25">
      <c r="B35" s="88" t="s">
        <v>128</v>
      </c>
      <c r="C35" s="72"/>
      <c r="D35" s="89"/>
      <c r="E35" s="89"/>
      <c r="F35" s="77" t="s">
        <v>129</v>
      </c>
      <c r="G35" s="76"/>
      <c r="H35" s="79"/>
      <c r="I35" s="83"/>
    </row>
    <row r="36" spans="2:9" ht="15.75" x14ac:dyDescent="0.25">
      <c r="B36" s="88"/>
      <c r="C36" s="76"/>
      <c r="D36" s="76"/>
      <c r="E36" s="76"/>
      <c r="F36" s="77" t="s">
        <v>130</v>
      </c>
      <c r="G36" s="76"/>
      <c r="H36" s="79"/>
      <c r="I36" s="83"/>
    </row>
    <row r="37" spans="2:9" ht="15.75" x14ac:dyDescent="0.25">
      <c r="B37" s="71" t="s">
        <v>131</v>
      </c>
      <c r="C37" s="72"/>
      <c r="D37" s="89"/>
      <c r="E37" s="89"/>
      <c r="F37" s="77" t="s">
        <v>132</v>
      </c>
      <c r="G37" s="76"/>
      <c r="H37" s="79"/>
      <c r="I37" s="83"/>
    </row>
    <row r="38" spans="2:9" ht="15.75" x14ac:dyDescent="0.25">
      <c r="B38" s="71"/>
      <c r="C38" s="76"/>
      <c r="D38" s="76"/>
      <c r="E38" s="76"/>
      <c r="F38" s="73"/>
      <c r="G38" s="85"/>
      <c r="H38" s="85"/>
      <c r="I38" s="86"/>
    </row>
    <row r="39" spans="2:9" ht="15.75" x14ac:dyDescent="0.25">
      <c r="B39" s="71" t="s">
        <v>133</v>
      </c>
      <c r="C39" s="72">
        <f>SUM(C40:C42)</f>
        <v>5662461.6699999999</v>
      </c>
      <c r="D39" s="72">
        <f>SUM(D40:D42)</f>
        <v>5586065.1799999997</v>
      </c>
      <c r="E39" s="72">
        <f>SUM(E40:E42)</f>
        <v>20335690.460000001</v>
      </c>
      <c r="F39" s="73" t="s">
        <v>134</v>
      </c>
      <c r="G39" s="72">
        <f>SUM(G40:G45)</f>
        <v>750000</v>
      </c>
      <c r="H39" s="72">
        <f>SUM(H40:H45)</f>
        <v>750000</v>
      </c>
      <c r="I39" s="74">
        <f>SUM(I40:I45)</f>
        <v>800000</v>
      </c>
    </row>
    <row r="40" spans="2:9" x14ac:dyDescent="0.25">
      <c r="B40" s="87" t="s">
        <v>129</v>
      </c>
      <c r="C40" s="76">
        <v>5662461.6699999999</v>
      </c>
      <c r="D40" s="79">
        <v>5586065.1799999997</v>
      </c>
      <c r="E40" s="79">
        <v>20335690.460000001</v>
      </c>
      <c r="F40" s="77" t="s">
        <v>135</v>
      </c>
      <c r="G40" s="76"/>
      <c r="H40" s="79"/>
      <c r="I40" s="83"/>
    </row>
    <row r="41" spans="2:9" x14ac:dyDescent="0.25">
      <c r="B41" s="87" t="s">
        <v>136</v>
      </c>
      <c r="C41" s="76"/>
      <c r="D41" s="79"/>
      <c r="E41" s="79"/>
      <c r="F41" s="77" t="s">
        <v>137</v>
      </c>
      <c r="G41" s="76"/>
      <c r="H41" s="79"/>
      <c r="I41" s="83"/>
    </row>
    <row r="42" spans="2:9" x14ac:dyDescent="0.25">
      <c r="B42" s="87" t="s">
        <v>138</v>
      </c>
      <c r="C42" s="76"/>
      <c r="D42" s="79"/>
      <c r="E42" s="79"/>
      <c r="F42" s="77" t="s">
        <v>139</v>
      </c>
      <c r="G42" s="76"/>
      <c r="H42" s="79"/>
      <c r="I42" s="83"/>
    </row>
    <row r="43" spans="2:9" x14ac:dyDescent="0.25">
      <c r="B43" s="87"/>
      <c r="C43" s="76"/>
      <c r="D43" s="76"/>
      <c r="E43" s="76"/>
      <c r="F43" s="77" t="s">
        <v>140</v>
      </c>
      <c r="G43" s="76">
        <v>750000</v>
      </c>
      <c r="H43" s="79">
        <v>750000</v>
      </c>
      <c r="I43" s="83">
        <v>800000</v>
      </c>
    </row>
    <row r="44" spans="2:9" ht="15.75" x14ac:dyDescent="0.25">
      <c r="B44" s="71" t="s">
        <v>141</v>
      </c>
      <c r="C44" s="72">
        <f>SUM(C45:C46)</f>
        <v>2000000</v>
      </c>
      <c r="D44" s="72">
        <f>SUM(D45:D46)</f>
        <v>1000000</v>
      </c>
      <c r="E44" s="72">
        <f>SUM(E45:E46)</f>
        <v>1000000</v>
      </c>
      <c r="F44" s="77" t="s">
        <v>142</v>
      </c>
      <c r="G44" s="76"/>
      <c r="H44" s="79"/>
      <c r="I44" s="83"/>
    </row>
    <row r="45" spans="2:9" ht="15.75" x14ac:dyDescent="0.25">
      <c r="B45" s="87" t="s">
        <v>143</v>
      </c>
      <c r="C45" s="90"/>
      <c r="D45" s="91"/>
      <c r="E45" s="92"/>
      <c r="F45" s="77" t="s">
        <v>144</v>
      </c>
      <c r="G45" s="76"/>
      <c r="H45" s="79"/>
      <c r="I45" s="83"/>
    </row>
    <row r="46" spans="2:9" ht="15.75" x14ac:dyDescent="0.25">
      <c r="B46" s="87" t="s">
        <v>145</v>
      </c>
      <c r="C46" s="90">
        <v>2000000</v>
      </c>
      <c r="D46" s="91">
        <v>1000000</v>
      </c>
      <c r="E46" s="92">
        <v>1000000</v>
      </c>
      <c r="F46" s="77"/>
      <c r="G46" s="76"/>
      <c r="H46" s="79"/>
      <c r="I46" s="83"/>
    </row>
    <row r="47" spans="2:9" ht="16.5" thickBot="1" x14ac:dyDescent="0.3">
      <c r="B47" s="88"/>
      <c r="C47" s="93"/>
      <c r="D47" s="93"/>
      <c r="E47" s="94"/>
      <c r="F47" s="95"/>
      <c r="G47" s="96"/>
      <c r="H47" s="96"/>
      <c r="I47" s="97"/>
    </row>
    <row r="48" spans="2:9" ht="19.5" thickTop="1" thickBot="1" x14ac:dyDescent="0.3">
      <c r="B48" s="98" t="s">
        <v>146</v>
      </c>
      <c r="C48" s="99">
        <f>C11+C35+C37+C39+C44</f>
        <v>106680674.616</v>
      </c>
      <c r="D48" s="99">
        <f>D11+D35+D37+D39+D44</f>
        <v>78836820.719999999</v>
      </c>
      <c r="E48" s="99">
        <f>E11+E35+E37+E39+E44</f>
        <v>136722702.63</v>
      </c>
      <c r="F48" s="100" t="s">
        <v>147</v>
      </c>
      <c r="G48" s="99">
        <f>G11+G25+G29+G34+G39</f>
        <v>108885683.25000001</v>
      </c>
      <c r="H48" s="99">
        <f>H11+H25+H29+H34+H39</f>
        <v>108647933.66</v>
      </c>
      <c r="I48" s="101">
        <f>I11+I25+I29+I34+I39</f>
        <v>86950689.150000006</v>
      </c>
    </row>
    <row r="49" spans="2:9" ht="15.75" thickTop="1" x14ac:dyDescent="0.25">
      <c r="B49" s="102"/>
      <c r="C49" s="103"/>
      <c r="D49" s="103"/>
      <c r="E49" s="103"/>
      <c r="F49" s="104"/>
      <c r="G49" s="103"/>
      <c r="H49" s="103"/>
      <c r="I49" s="105"/>
    </row>
    <row r="50" spans="2:9" ht="17.25" thickBot="1" x14ac:dyDescent="0.3">
      <c r="B50" s="106" t="s">
        <v>148</v>
      </c>
      <c r="C50" s="107">
        <f>IF(G48-C48&gt;0,G48-C48,0)</f>
        <v>2205008.6340000182</v>
      </c>
      <c r="D50" s="107">
        <f>IF(H48-D48&gt;0,H48-D48,0)</f>
        <v>29811112.939999998</v>
      </c>
      <c r="E50" s="107">
        <f>IF(I48-E48&gt;0,I48-E48,0)</f>
        <v>0</v>
      </c>
      <c r="F50" s="108" t="s">
        <v>149</v>
      </c>
      <c r="G50" s="107">
        <f>IF(C48-G48&gt;0,C48-G48,0)</f>
        <v>0</v>
      </c>
      <c r="H50" s="107">
        <f>IF(D48-H48&gt;0,D48-H48,0)</f>
        <v>0</v>
      </c>
      <c r="I50" s="109">
        <f>IF(E48-I48&gt;0,E48-I48,0)</f>
        <v>49772013.479999989</v>
      </c>
    </row>
  </sheetData>
  <mergeCells count="2">
    <mergeCell ref="B8:B9"/>
    <mergeCell ref="F8:F9"/>
  </mergeCells>
  <conditionalFormatting sqref="D13:E14 D18:E22 D35:E35 D37:E37 D27:E33 D40:E42 D45:E46 H26:I27 H35:I37 H40:I45 H30:I32 D24:E25 D16:E16 D15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topLeftCell="C58" workbookViewId="0">
      <selection activeCell="C18" sqref="C18"/>
    </sheetView>
  </sheetViews>
  <sheetFormatPr baseColWidth="10" defaultRowHeight="15" x14ac:dyDescent="0.25"/>
  <cols>
    <col min="2" max="2" width="47.28515625" customWidth="1"/>
    <col min="3" max="3" width="18.85546875" customWidth="1"/>
    <col min="4" max="4" width="18.7109375" customWidth="1"/>
    <col min="5" max="5" width="18.5703125" customWidth="1"/>
    <col min="6" max="6" width="48" customWidth="1"/>
    <col min="7" max="7" width="24" customWidth="1"/>
    <col min="8" max="8" width="18" customWidth="1"/>
    <col min="9" max="9" width="20.140625" customWidth="1"/>
  </cols>
  <sheetData>
    <row r="1" spans="2:9" ht="15.75" thickBot="1" x14ac:dyDescent="0.3"/>
    <row r="2" spans="2:9" ht="19.5" thickTop="1" thickBot="1" x14ac:dyDescent="0.3">
      <c r="B2" s="3"/>
      <c r="C2" s="110"/>
      <c r="D2" s="110"/>
      <c r="E2" s="111" t="s">
        <v>150</v>
      </c>
      <c r="F2" s="2"/>
      <c r="G2" s="2"/>
      <c r="H2" s="2"/>
      <c r="I2" s="4" t="s">
        <v>151</v>
      </c>
    </row>
    <row r="3" spans="2:9" ht="16.5" thickTop="1" x14ac:dyDescent="0.25">
      <c r="B3" s="112"/>
      <c r="C3" s="110"/>
      <c r="D3" s="2"/>
      <c r="E3" s="2"/>
      <c r="F3" s="2"/>
      <c r="G3" s="2"/>
      <c r="H3" s="2"/>
      <c r="I3" s="2"/>
    </row>
    <row r="4" spans="2:9" ht="15.75" x14ac:dyDescent="0.25">
      <c r="B4" s="112"/>
      <c r="C4" s="2"/>
      <c r="D4" s="2"/>
      <c r="E4" s="110"/>
      <c r="F4" s="2"/>
      <c r="G4" s="2"/>
      <c r="H4" s="2"/>
      <c r="I4" s="2"/>
    </row>
    <row r="5" spans="2:9" ht="15.75" x14ac:dyDescent="0.25">
      <c r="B5" s="112"/>
      <c r="C5" s="2"/>
      <c r="D5" s="2"/>
      <c r="E5" s="110"/>
      <c r="F5" s="110"/>
      <c r="G5" s="6"/>
      <c r="H5" s="6"/>
      <c r="I5" s="2"/>
    </row>
    <row r="6" spans="2:9" ht="16.5" thickBot="1" x14ac:dyDescent="0.3">
      <c r="B6" s="113"/>
      <c r="C6" s="114"/>
      <c r="D6" s="114"/>
      <c r="E6" s="115"/>
      <c r="F6" s="116"/>
      <c r="G6" s="113"/>
      <c r="H6" s="113"/>
      <c r="I6" s="114"/>
    </row>
    <row r="7" spans="2:9" ht="15.75" x14ac:dyDescent="0.25">
      <c r="B7" s="230" t="s">
        <v>152</v>
      </c>
      <c r="C7" s="10" t="s">
        <v>6</v>
      </c>
      <c r="D7" s="10" t="s">
        <v>7</v>
      </c>
      <c r="E7" s="117" t="s">
        <v>6</v>
      </c>
      <c r="F7" s="234" t="s">
        <v>153</v>
      </c>
      <c r="G7" s="10" t="s">
        <v>6</v>
      </c>
      <c r="H7" s="10" t="s">
        <v>7</v>
      </c>
      <c r="I7" s="117" t="s">
        <v>6</v>
      </c>
    </row>
    <row r="8" spans="2:9" ht="16.5" thickBot="1" x14ac:dyDescent="0.3">
      <c r="B8" s="231"/>
      <c r="C8" s="118">
        <v>43830</v>
      </c>
      <c r="D8" s="118">
        <v>43830</v>
      </c>
      <c r="E8" s="118">
        <v>44196</v>
      </c>
      <c r="F8" s="231"/>
      <c r="G8" s="118">
        <f>C8</f>
        <v>43830</v>
      </c>
      <c r="H8" s="118">
        <f>D8</f>
        <v>43830</v>
      </c>
      <c r="I8" s="119">
        <f>E8</f>
        <v>44196</v>
      </c>
    </row>
    <row r="9" spans="2:9" ht="15.75" thickTop="1" x14ac:dyDescent="0.25">
      <c r="B9" s="120"/>
      <c r="C9" s="121"/>
      <c r="D9" s="121"/>
      <c r="E9" s="122"/>
      <c r="F9" s="123"/>
      <c r="G9" s="121"/>
      <c r="H9" s="121"/>
      <c r="I9" s="122"/>
    </row>
    <row r="10" spans="2:9" ht="15.75" x14ac:dyDescent="0.25">
      <c r="B10" s="17" t="s">
        <v>154</v>
      </c>
      <c r="C10" s="124">
        <f>C11+C17+C21+C24+C31</f>
        <v>661840915.4684</v>
      </c>
      <c r="D10" s="124">
        <f>D11+D17+D21+D24+D31</f>
        <v>640174855.09000003</v>
      </c>
      <c r="E10" s="124">
        <f>E11+E17+E21+E24+E31</f>
        <v>740637762.03000009</v>
      </c>
      <c r="F10" s="125" t="s">
        <v>155</v>
      </c>
      <c r="G10" s="124">
        <f>G11+G26+G31</f>
        <v>706629218.08999991</v>
      </c>
      <c r="H10" s="126">
        <f>H11+H26+H31</f>
        <v>780996418.51999998</v>
      </c>
      <c r="I10" s="124">
        <f>I11+I26+I31</f>
        <v>858075161.17000008</v>
      </c>
    </row>
    <row r="11" spans="2:9" ht="16.5" x14ac:dyDescent="0.25">
      <c r="B11" s="136" t="s">
        <v>156</v>
      </c>
      <c r="C11" s="23">
        <f>SUM(C12:C16)</f>
        <v>231190.99</v>
      </c>
      <c r="D11" s="21">
        <f>SUM(D12:D16)</f>
        <v>11495.98</v>
      </c>
      <c r="E11" s="21">
        <f>SUM(E12:E16)</f>
        <v>116264.72</v>
      </c>
      <c r="F11" s="127" t="s">
        <v>157</v>
      </c>
      <c r="G11" s="23">
        <f>G12+G15+G16+G19+G22+G23+G24</f>
        <v>170282302.46999997</v>
      </c>
      <c r="H11" s="21">
        <f>H12+H15+H16+H19+H22+H23+H24</f>
        <v>206670226.25</v>
      </c>
      <c r="I11" s="23">
        <f>I12+I15+I16+I19+I22+I23+I24</f>
        <v>219022460.5</v>
      </c>
    </row>
    <row r="12" spans="2:9" ht="16.5" x14ac:dyDescent="0.25">
      <c r="B12" s="22" t="s">
        <v>158</v>
      </c>
      <c r="C12" s="25"/>
      <c r="D12" s="26"/>
      <c r="E12" s="25"/>
      <c r="F12" s="128" t="s">
        <v>159</v>
      </c>
      <c r="G12" s="23">
        <f>SUM(G13:G14)</f>
        <v>147030142.5</v>
      </c>
      <c r="H12" s="21">
        <f>SUM(H13:H14)</f>
        <v>147030142.5</v>
      </c>
      <c r="I12" s="23">
        <f>SUM(I13:I14)</f>
        <v>147030142.5</v>
      </c>
    </row>
    <row r="13" spans="2:9" x14ac:dyDescent="0.25">
      <c r="B13" s="22" t="s">
        <v>160</v>
      </c>
      <c r="C13" s="25"/>
      <c r="D13" s="26"/>
      <c r="E13" s="25"/>
      <c r="F13" s="129" t="s">
        <v>161</v>
      </c>
      <c r="G13" s="25">
        <v>147030142.5</v>
      </c>
      <c r="H13" s="26">
        <f>+G13</f>
        <v>147030142.5</v>
      </c>
      <c r="I13" s="25">
        <v>147030142.5</v>
      </c>
    </row>
    <row r="14" spans="2:9" x14ac:dyDescent="0.25">
      <c r="B14" s="22" t="s">
        <v>162</v>
      </c>
      <c r="C14" s="25"/>
      <c r="D14" s="26"/>
      <c r="E14" s="25"/>
      <c r="F14" s="130" t="s">
        <v>163</v>
      </c>
      <c r="G14" s="25"/>
      <c r="H14" s="26"/>
      <c r="I14" s="25"/>
    </row>
    <row r="15" spans="2:9" ht="16.5" x14ac:dyDescent="0.25">
      <c r="B15" s="22" t="s">
        <v>164</v>
      </c>
      <c r="C15" s="25">
        <v>231190.99</v>
      </c>
      <c r="D15" s="26">
        <v>11495.98</v>
      </c>
      <c r="E15" s="131">
        <v>116264.72</v>
      </c>
      <c r="F15" s="128" t="s">
        <v>165</v>
      </c>
      <c r="G15" s="25"/>
      <c r="H15" s="26"/>
      <c r="I15" s="25"/>
    </row>
    <row r="16" spans="2:9" ht="16.5" x14ac:dyDescent="0.25">
      <c r="B16" s="22" t="s">
        <v>166</v>
      </c>
      <c r="C16" s="25"/>
      <c r="D16" s="26"/>
      <c r="E16" s="25"/>
      <c r="F16" s="128" t="s">
        <v>167</v>
      </c>
      <c r="G16" s="23">
        <f>SUM(G17:G18)</f>
        <v>8111783.0100000007</v>
      </c>
      <c r="H16" s="21">
        <f>SUM(H17:H18)</f>
        <v>22007752.460000001</v>
      </c>
      <c r="I16" s="23">
        <f>SUM(I17:I18)</f>
        <v>24654046.969999999</v>
      </c>
    </row>
    <row r="17" spans="2:9" ht="16.5" x14ac:dyDescent="0.25">
      <c r="B17" s="136" t="s">
        <v>168</v>
      </c>
      <c r="C17" s="23">
        <f>SUM(C18:C20)</f>
        <v>24441855.289999999</v>
      </c>
      <c r="D17" s="21">
        <f>SUM(D18:D20)</f>
        <v>24253771.409999996</v>
      </c>
      <c r="E17" s="23">
        <f>SUM(E18:E20)</f>
        <v>23442771.409999996</v>
      </c>
      <c r="F17" s="129" t="s">
        <v>169</v>
      </c>
      <c r="G17" s="25">
        <v>8111263.9800000004</v>
      </c>
      <c r="H17" s="26">
        <v>9837874.2599999998</v>
      </c>
      <c r="I17" s="25">
        <v>12484168.77</v>
      </c>
    </row>
    <row r="18" spans="2:9" x14ac:dyDescent="0.25">
      <c r="B18" s="22" t="s">
        <v>170</v>
      </c>
      <c r="C18" s="25">
        <f>21661495.82</f>
        <v>21661495.82</v>
      </c>
      <c r="D18" s="26">
        <v>21073657.819999997</v>
      </c>
      <c r="E18" s="131">
        <v>20663657.819999997</v>
      </c>
      <c r="F18" s="133" t="s">
        <v>171</v>
      </c>
      <c r="G18" s="25">
        <v>519.03</v>
      </c>
      <c r="H18" s="26">
        <v>12169878.199999999</v>
      </c>
      <c r="I18" s="25">
        <f>+H18</f>
        <v>12169878.199999999</v>
      </c>
    </row>
    <row r="19" spans="2:9" ht="16.5" x14ac:dyDescent="0.25">
      <c r="B19" s="22" t="s">
        <v>172</v>
      </c>
      <c r="C19" s="25">
        <v>2780359.47</v>
      </c>
      <c r="D19" s="26">
        <v>3180113.5900000008</v>
      </c>
      <c r="E19" s="25">
        <v>2779113.5900000008</v>
      </c>
      <c r="F19" s="128" t="s">
        <v>173</v>
      </c>
      <c r="G19" s="23">
        <f>SUM(G20:G21)</f>
        <v>-66569539.020000011</v>
      </c>
      <c r="H19" s="21">
        <f>SUM(H20:H21)</f>
        <v>-51030046.509999998</v>
      </c>
      <c r="I19" s="21">
        <f>SUM(I20:I21)</f>
        <v>-27213395.949999999</v>
      </c>
    </row>
    <row r="20" spans="2:9" x14ac:dyDescent="0.25">
      <c r="B20" s="22" t="s">
        <v>174</v>
      </c>
      <c r="C20" s="25"/>
      <c r="D20" s="26"/>
      <c r="E20" s="25"/>
      <c r="F20" s="133" t="s">
        <v>175</v>
      </c>
      <c r="G20" s="25"/>
      <c r="H20" s="26"/>
      <c r="I20" s="25"/>
    </row>
    <row r="21" spans="2:9" ht="16.5" x14ac:dyDescent="0.25">
      <c r="B21" s="136" t="s">
        <v>176</v>
      </c>
      <c r="C21" s="23">
        <f>SUM(C22:C23)</f>
        <v>632751614.81840003</v>
      </c>
      <c r="D21" s="21">
        <f>SUM(D22:D23)</f>
        <v>607891037.91999996</v>
      </c>
      <c r="E21" s="23">
        <f>SUM(E22:E23)</f>
        <v>709335176.12</v>
      </c>
      <c r="F21" s="130" t="s">
        <v>177</v>
      </c>
      <c r="G21" s="25">
        <v>-66569539.020000011</v>
      </c>
      <c r="H21" s="26">
        <v>-51030046.509999998</v>
      </c>
      <c r="I21" s="25">
        <f>ROUND(+H21+H23*0.9,2)</f>
        <v>-27213395.949999999</v>
      </c>
    </row>
    <row r="22" spans="2:9" ht="16.5" x14ac:dyDescent="0.25">
      <c r="B22" s="22" t="s">
        <v>178</v>
      </c>
      <c r="C22" s="25">
        <v>181962439.93000001</v>
      </c>
      <c r="D22" s="26">
        <v>207504766.69999996</v>
      </c>
      <c r="E22" s="25">
        <v>217504766.69999996</v>
      </c>
      <c r="F22" s="134" t="s">
        <v>179</v>
      </c>
      <c r="G22" s="25">
        <v>62199432.729999997</v>
      </c>
      <c r="H22" s="26">
        <v>62199432.729999997</v>
      </c>
      <c r="I22" s="25">
        <v>62199432.729999997</v>
      </c>
    </row>
    <row r="23" spans="2:9" ht="16.5" x14ac:dyDescent="0.25">
      <c r="B23" s="22" t="s">
        <v>180</v>
      </c>
      <c r="C23" s="25">
        <v>450789174.88840002</v>
      </c>
      <c r="D23" s="26">
        <v>400386271.22000003</v>
      </c>
      <c r="E23" s="25">
        <v>491830409.42000002</v>
      </c>
      <c r="F23" s="128" t="s">
        <v>181</v>
      </c>
      <c r="G23" s="23">
        <v>19510483.250000011</v>
      </c>
      <c r="H23" s="21">
        <v>26462945.070000008</v>
      </c>
      <c r="I23" s="23">
        <v>12352234.250000004</v>
      </c>
    </row>
    <row r="24" spans="2:9" ht="16.5" x14ac:dyDescent="0.25">
      <c r="B24" s="136" t="s">
        <v>182</v>
      </c>
      <c r="C24" s="23">
        <f>SUM(C25:C30)</f>
        <v>4215189.03</v>
      </c>
      <c r="D24" s="21">
        <f>SUM(D25:D30)</f>
        <v>7717484.4399999995</v>
      </c>
      <c r="E24" s="23">
        <f>SUM(E25:E30)</f>
        <v>7417484.4399999995</v>
      </c>
      <c r="F24" s="128" t="s">
        <v>183</v>
      </c>
      <c r="G24" s="25"/>
      <c r="H24" s="26"/>
      <c r="I24" s="25"/>
    </row>
    <row r="25" spans="2:9" x14ac:dyDescent="0.25">
      <c r="B25" s="22" t="s">
        <v>184</v>
      </c>
      <c r="C25" s="25"/>
      <c r="D25" s="26"/>
      <c r="E25" s="25"/>
      <c r="F25" s="123"/>
      <c r="G25" s="23"/>
      <c r="H25" s="21"/>
      <c r="I25" s="23"/>
    </row>
    <row r="26" spans="2:9" ht="15.75" x14ac:dyDescent="0.25">
      <c r="B26" s="22" t="s">
        <v>185</v>
      </c>
      <c r="C26" s="25">
        <v>3232027.5</v>
      </c>
      <c r="D26" s="26">
        <v>6138684.29</v>
      </c>
      <c r="E26" s="25">
        <v>5338684.29</v>
      </c>
      <c r="F26" s="127" t="s">
        <v>186</v>
      </c>
      <c r="G26" s="23">
        <f>SUM(G27:G29)</f>
        <v>0</v>
      </c>
      <c r="H26" s="21">
        <f>SUM(H27:H29)</f>
        <v>0</v>
      </c>
      <c r="I26" s="23">
        <f>SUM(I27:I29)</f>
        <v>0</v>
      </c>
    </row>
    <row r="27" spans="2:9" ht="16.5" x14ac:dyDescent="0.25">
      <c r="B27" s="22" t="s">
        <v>187</v>
      </c>
      <c r="C27" s="25"/>
      <c r="D27" s="26"/>
      <c r="E27" s="25"/>
      <c r="F27" s="134" t="s">
        <v>188</v>
      </c>
      <c r="G27" s="25"/>
      <c r="H27" s="26"/>
      <c r="I27" s="25"/>
    </row>
    <row r="28" spans="2:9" ht="16.5" x14ac:dyDescent="0.25">
      <c r="B28" s="22" t="s">
        <v>189</v>
      </c>
      <c r="C28" s="25"/>
      <c r="D28" s="26"/>
      <c r="E28" s="25"/>
      <c r="F28" s="134" t="s">
        <v>190</v>
      </c>
      <c r="G28" s="25"/>
      <c r="H28" s="26"/>
      <c r="I28" s="25"/>
    </row>
    <row r="29" spans="2:9" ht="16.5" x14ac:dyDescent="0.25">
      <c r="B29" s="22" t="s">
        <v>191</v>
      </c>
      <c r="C29" s="26"/>
      <c r="D29" s="26"/>
      <c r="E29" s="26"/>
      <c r="F29" s="128" t="s">
        <v>192</v>
      </c>
      <c r="G29" s="25"/>
      <c r="H29" s="26"/>
      <c r="I29" s="25"/>
    </row>
    <row r="30" spans="2:9" x14ac:dyDescent="0.25">
      <c r="B30" s="22" t="s">
        <v>193</v>
      </c>
      <c r="C30" s="25">
        <v>983161.53</v>
      </c>
      <c r="D30" s="26">
        <v>1578800.15</v>
      </c>
      <c r="E30" s="25">
        <v>2078800.15</v>
      </c>
      <c r="F30" s="123"/>
      <c r="G30" s="23"/>
      <c r="H30" s="21"/>
      <c r="I30" s="23"/>
    </row>
    <row r="31" spans="2:9" ht="16.5" x14ac:dyDescent="0.25">
      <c r="B31" s="136" t="s">
        <v>194</v>
      </c>
      <c r="C31" s="25">
        <v>201065.34</v>
      </c>
      <c r="D31" s="26">
        <v>301065.34000000003</v>
      </c>
      <c r="E31" s="25">
        <f>+D31+25000</f>
        <v>326065.34000000003</v>
      </c>
      <c r="F31" s="127" t="s">
        <v>195</v>
      </c>
      <c r="G31" s="23">
        <f>SUM(G32:G34)</f>
        <v>536346915.61999995</v>
      </c>
      <c r="H31" s="21">
        <f>SUM(H32:H34)</f>
        <v>574326192.26999998</v>
      </c>
      <c r="I31" s="23">
        <f>SUM(I32:I34)</f>
        <v>639052700.67000008</v>
      </c>
    </row>
    <row r="32" spans="2:9" ht="16.5" x14ac:dyDescent="0.25">
      <c r="B32" s="137"/>
      <c r="C32" s="23"/>
      <c r="D32" s="21"/>
      <c r="E32" s="23"/>
      <c r="F32" s="134" t="s">
        <v>196</v>
      </c>
      <c r="G32" s="25">
        <f>434327568.71-100000-10000000</f>
        <v>424227568.70999998</v>
      </c>
      <c r="H32" s="26">
        <f>429388407.8+50000</f>
        <v>429438407.80000001</v>
      </c>
      <c r="I32" s="25">
        <v>478338407.80000001</v>
      </c>
    </row>
    <row r="33" spans="2:9" ht="16.5" x14ac:dyDescent="0.25">
      <c r="B33" s="17" t="s">
        <v>197</v>
      </c>
      <c r="C33" s="124">
        <f>C34+C35+C42+C50+C57+C58</f>
        <v>83458641.930000007</v>
      </c>
      <c r="D33" s="126">
        <f>D34+D35+D42+D50+D57+D58</f>
        <v>213551852.13</v>
      </c>
      <c r="E33" s="124">
        <f>E34+E35+E42+E50+E57+E58</f>
        <v>169438635.95999998</v>
      </c>
      <c r="F33" s="134" t="s">
        <v>198</v>
      </c>
      <c r="G33" s="25">
        <v>1189914.1499999999</v>
      </c>
      <c r="H33" s="26">
        <v>1214914.1499999999</v>
      </c>
      <c r="I33" s="25">
        <v>7041422.5500000007</v>
      </c>
    </row>
    <row r="34" spans="2:9" ht="16.5" x14ac:dyDescent="0.25">
      <c r="B34" s="136" t="s">
        <v>199</v>
      </c>
      <c r="C34" s="25"/>
      <c r="D34" s="26"/>
      <c r="E34" s="25"/>
      <c r="F34" s="128" t="s">
        <v>200</v>
      </c>
      <c r="G34" s="25">
        <v>110929432.75999999</v>
      </c>
      <c r="H34" s="26">
        <v>143672870.31999999</v>
      </c>
      <c r="I34" s="25">
        <v>153672870.31999999</v>
      </c>
    </row>
    <row r="35" spans="2:9" ht="16.5" x14ac:dyDescent="0.25">
      <c r="B35" s="47" t="s">
        <v>201</v>
      </c>
      <c r="C35" s="23">
        <f>SUM(C36:C41)</f>
        <v>28466858.269999996</v>
      </c>
      <c r="D35" s="23">
        <f>SUM(D36:D41)</f>
        <v>40073589.490000002</v>
      </c>
      <c r="E35" s="23">
        <f>SUM(E36:E41)</f>
        <v>40173589.490000002</v>
      </c>
      <c r="F35" s="138"/>
      <c r="G35" s="140"/>
      <c r="H35" s="139"/>
      <c r="I35" s="140"/>
    </row>
    <row r="36" spans="2:9" ht="15.75" x14ac:dyDescent="0.25">
      <c r="B36" s="22" t="s">
        <v>202</v>
      </c>
      <c r="C36" s="25"/>
      <c r="D36" s="26"/>
      <c r="E36" s="25"/>
      <c r="F36" s="125" t="s">
        <v>203</v>
      </c>
      <c r="G36" s="124">
        <f>G37+G42+G47+G48+G49</f>
        <v>27594232.310000002</v>
      </c>
      <c r="H36" s="126">
        <f>H37+H42+H47+H48+H49</f>
        <v>28971691.630000003</v>
      </c>
      <c r="I36" s="124">
        <f>I37+I42+I47+I48+I49</f>
        <v>11263148.080000002</v>
      </c>
    </row>
    <row r="37" spans="2:9" ht="16.5" x14ac:dyDescent="0.25">
      <c r="B37" s="22" t="s">
        <v>204</v>
      </c>
      <c r="C37" s="25">
        <v>27911053.309999995</v>
      </c>
      <c r="D37" s="26">
        <v>40073589.490000002</v>
      </c>
      <c r="E37" s="25">
        <v>40173589.490000002</v>
      </c>
      <c r="F37" s="128" t="s">
        <v>205</v>
      </c>
      <c r="G37" s="23">
        <f>SUM(G38:G41)</f>
        <v>7946884.4900000002</v>
      </c>
      <c r="H37" s="21">
        <f>SUM(H38:H41)</f>
        <v>9621319.6700000018</v>
      </c>
      <c r="I37" s="23">
        <f>SUM(I38:I41)</f>
        <v>8621319.6700000018</v>
      </c>
    </row>
    <row r="38" spans="2:9" x14ac:dyDescent="0.25">
      <c r="B38" s="22" t="s">
        <v>206</v>
      </c>
      <c r="C38" s="25">
        <v>133723.76999999999</v>
      </c>
      <c r="D38" s="26"/>
      <c r="E38" s="25"/>
      <c r="F38" s="129" t="s">
        <v>207</v>
      </c>
      <c r="G38" s="25"/>
      <c r="H38" s="26"/>
      <c r="I38" s="25"/>
    </row>
    <row r="39" spans="2:9" x14ac:dyDescent="0.25">
      <c r="B39" s="22" t="s">
        <v>208</v>
      </c>
      <c r="C39" s="25">
        <v>422081.19</v>
      </c>
      <c r="D39" s="26"/>
      <c r="E39" s="25"/>
      <c r="F39" s="129" t="s">
        <v>209</v>
      </c>
      <c r="G39" s="25"/>
      <c r="H39" s="26"/>
      <c r="I39" s="25"/>
    </row>
    <row r="40" spans="2:9" x14ac:dyDescent="0.25">
      <c r="B40" s="22" t="s">
        <v>210</v>
      </c>
      <c r="C40" s="25"/>
      <c r="D40" s="26"/>
      <c r="E40" s="25"/>
      <c r="F40" s="129" t="s">
        <v>211</v>
      </c>
      <c r="G40" s="25"/>
      <c r="H40" s="26"/>
      <c r="I40" s="25"/>
    </row>
    <row r="41" spans="2:9" x14ac:dyDescent="0.25">
      <c r="B41" s="22" t="s">
        <v>212</v>
      </c>
      <c r="C41" s="25"/>
      <c r="D41" s="26"/>
      <c r="E41" s="25"/>
      <c r="F41" s="129" t="s">
        <v>213</v>
      </c>
      <c r="G41" s="25">
        <v>7946884.4900000002</v>
      </c>
      <c r="H41" s="26">
        <v>9621319.6700000018</v>
      </c>
      <c r="I41" s="25">
        <v>8621319.6700000018</v>
      </c>
    </row>
    <row r="42" spans="2:9" ht="16.5" x14ac:dyDescent="0.25">
      <c r="B42" s="47" t="s">
        <v>214</v>
      </c>
      <c r="C42" s="23">
        <f>SUM(C43:C49)</f>
        <v>34921736.120000005</v>
      </c>
      <c r="D42" s="21">
        <f>SUM(D43:D49)</f>
        <v>127825350.22</v>
      </c>
      <c r="E42" s="23">
        <f>SUM(E43:E49)</f>
        <v>68961331.189999998</v>
      </c>
      <c r="F42" s="141" t="s">
        <v>215</v>
      </c>
      <c r="G42" s="21">
        <f>SUM(G43:G46)</f>
        <v>18273884.82</v>
      </c>
      <c r="H42" s="21">
        <f>SUM(H43:H46)</f>
        <v>17873884.82</v>
      </c>
      <c r="I42" s="21">
        <f>SUM(I43:I46)</f>
        <v>1000000</v>
      </c>
    </row>
    <row r="43" spans="2:9" x14ac:dyDescent="0.25">
      <c r="B43" s="29" t="s">
        <v>216</v>
      </c>
      <c r="C43" s="25">
        <v>3405000</v>
      </c>
      <c r="D43" s="26">
        <v>5153831.1899999995</v>
      </c>
      <c r="E43" s="25">
        <v>6653831.1900000013</v>
      </c>
      <c r="F43" s="142" t="s">
        <v>217</v>
      </c>
      <c r="G43" s="25">
        <v>16973884.82</v>
      </c>
      <c r="H43" s="26">
        <v>16973884.82</v>
      </c>
      <c r="I43" s="25">
        <v>0</v>
      </c>
    </row>
    <row r="44" spans="2:9" x14ac:dyDescent="0.25">
      <c r="B44" s="29" t="s">
        <v>218</v>
      </c>
      <c r="C44" s="25">
        <v>30858736.120000005</v>
      </c>
      <c r="D44" s="26">
        <v>122296519.03</v>
      </c>
      <c r="E44" s="26">
        <f>49760000+11617500+500000</f>
        <v>61877500</v>
      </c>
      <c r="F44" s="142" t="s">
        <v>219</v>
      </c>
      <c r="G44" s="25"/>
      <c r="H44" s="26"/>
      <c r="I44" s="25"/>
    </row>
    <row r="45" spans="2:9" x14ac:dyDescent="0.25">
      <c r="B45" s="29" t="s">
        <v>220</v>
      </c>
      <c r="C45" s="25">
        <v>500000</v>
      </c>
      <c r="D45" s="26">
        <v>250000</v>
      </c>
      <c r="E45" s="25">
        <v>300000</v>
      </c>
      <c r="F45" s="142" t="s">
        <v>221</v>
      </c>
      <c r="G45" s="25"/>
      <c r="H45" s="26"/>
      <c r="I45" s="25"/>
    </row>
    <row r="46" spans="2:9" x14ac:dyDescent="0.25">
      <c r="B46" s="22" t="s">
        <v>222</v>
      </c>
      <c r="C46" s="25">
        <v>150000</v>
      </c>
      <c r="D46" s="26">
        <v>125000</v>
      </c>
      <c r="E46" s="25">
        <v>130000</v>
      </c>
      <c r="F46" s="142" t="s">
        <v>223</v>
      </c>
      <c r="G46" s="25">
        <v>1300000</v>
      </c>
      <c r="H46" s="26">
        <v>900000</v>
      </c>
      <c r="I46" s="25">
        <v>1000000</v>
      </c>
    </row>
    <row r="47" spans="2:9" ht="16.5" x14ac:dyDescent="0.25">
      <c r="B47" s="22" t="s">
        <v>224</v>
      </c>
      <c r="C47" s="25">
        <v>8000</v>
      </c>
      <c r="D47" s="26"/>
      <c r="E47" s="25"/>
      <c r="F47" s="128" t="s">
        <v>225</v>
      </c>
      <c r="G47" s="25"/>
      <c r="H47" s="26"/>
      <c r="I47" s="25"/>
    </row>
    <row r="48" spans="2:9" ht="16.5" x14ac:dyDescent="0.25">
      <c r="B48" s="22" t="s">
        <v>226</v>
      </c>
      <c r="C48" s="25"/>
      <c r="D48" s="26"/>
      <c r="E48" s="25"/>
      <c r="F48" s="128" t="s">
        <v>227</v>
      </c>
      <c r="G48" s="25">
        <v>1373463</v>
      </c>
      <c r="H48" s="26">
        <v>1476487.14</v>
      </c>
      <c r="I48" s="25">
        <v>1641828.41</v>
      </c>
    </row>
    <row r="49" spans="2:9" ht="16.5" x14ac:dyDescent="0.25">
      <c r="B49" s="29" t="s">
        <v>228</v>
      </c>
      <c r="C49" s="25"/>
      <c r="D49" s="26"/>
      <c r="E49" s="25"/>
      <c r="F49" s="128" t="s">
        <v>229</v>
      </c>
      <c r="G49" s="25"/>
      <c r="H49" s="26"/>
      <c r="I49" s="25"/>
    </row>
    <row r="50" spans="2:9" ht="16.5" x14ac:dyDescent="0.25">
      <c r="B50" s="47" t="s">
        <v>230</v>
      </c>
      <c r="C50" s="23">
        <f>SUM(C51:C56)</f>
        <v>140035.82</v>
      </c>
      <c r="D50" s="21">
        <f>SUM(D51:D56)</f>
        <v>140035.82</v>
      </c>
      <c r="E50" s="23">
        <f>SUM(E51:E56)</f>
        <v>140035.82</v>
      </c>
      <c r="F50" s="143"/>
      <c r="G50" s="23"/>
      <c r="H50" s="21"/>
      <c r="I50" s="23"/>
    </row>
    <row r="51" spans="2:9" ht="15.75" x14ac:dyDescent="0.25">
      <c r="B51" s="22" t="s">
        <v>184</v>
      </c>
      <c r="C51" s="25"/>
      <c r="D51" s="26"/>
      <c r="E51" s="25"/>
      <c r="F51" s="5" t="s">
        <v>231</v>
      </c>
      <c r="G51" s="124">
        <f>G52+G53+G54+G59+G60+G68</f>
        <v>11076106.999999998</v>
      </c>
      <c r="H51" s="126">
        <f>H52+H53+H54+H59+H60+H68</f>
        <v>43758597.07</v>
      </c>
      <c r="I51" s="124">
        <f>I52+I53+I54+I59+I60+I68</f>
        <v>40738088.740000002</v>
      </c>
    </row>
    <row r="52" spans="2:9" ht="16.5" x14ac:dyDescent="0.25">
      <c r="B52" s="22" t="s">
        <v>185</v>
      </c>
      <c r="C52" s="25"/>
      <c r="D52" s="26"/>
      <c r="E52" s="25"/>
      <c r="F52" s="128" t="s">
        <v>232</v>
      </c>
      <c r="G52" s="25"/>
      <c r="H52" s="26"/>
      <c r="I52" s="25"/>
    </row>
    <row r="53" spans="2:9" ht="16.5" x14ac:dyDescent="0.25">
      <c r="B53" s="22" t="s">
        <v>187</v>
      </c>
      <c r="C53" s="25"/>
      <c r="D53" s="26"/>
      <c r="E53" s="25"/>
      <c r="F53" s="128" t="s">
        <v>233</v>
      </c>
      <c r="G53" s="25"/>
      <c r="H53" s="26"/>
      <c r="I53" s="25"/>
    </row>
    <row r="54" spans="2:9" ht="16.5" x14ac:dyDescent="0.25">
      <c r="B54" s="22" t="s">
        <v>189</v>
      </c>
      <c r="C54" s="25"/>
      <c r="D54" s="26"/>
      <c r="E54" s="25"/>
      <c r="F54" s="128" t="s">
        <v>234</v>
      </c>
      <c r="G54" s="23">
        <f>SUM(G55:G58)</f>
        <v>3411805.64</v>
      </c>
      <c r="H54" s="23">
        <f>SUM(H55:H58)</f>
        <v>3422805.64</v>
      </c>
      <c r="I54" s="23">
        <f>SUM(I55:I58)</f>
        <v>25000</v>
      </c>
    </row>
    <row r="55" spans="2:9" x14ac:dyDescent="0.25">
      <c r="B55" s="22" t="s">
        <v>191</v>
      </c>
      <c r="C55" s="25">
        <v>140035.82</v>
      </c>
      <c r="D55" s="26">
        <v>140035.82</v>
      </c>
      <c r="E55" s="25">
        <v>140035.82</v>
      </c>
      <c r="F55" s="142" t="s">
        <v>217</v>
      </c>
      <c r="G55" s="25">
        <v>3411805.64</v>
      </c>
      <c r="H55" s="25">
        <v>3411805.64</v>
      </c>
      <c r="I55" s="25">
        <v>0</v>
      </c>
    </row>
    <row r="56" spans="2:9" x14ac:dyDescent="0.25">
      <c r="B56" s="22" t="s">
        <v>193</v>
      </c>
      <c r="C56" s="25"/>
      <c r="D56" s="26"/>
      <c r="E56" s="25"/>
      <c r="F56" s="142" t="s">
        <v>219</v>
      </c>
      <c r="G56" s="25"/>
      <c r="H56" s="25"/>
      <c r="I56" s="25"/>
    </row>
    <row r="57" spans="2:9" ht="16.5" x14ac:dyDescent="0.25">
      <c r="B57" s="47" t="s">
        <v>235</v>
      </c>
      <c r="C57" s="25"/>
      <c r="D57" s="26"/>
      <c r="E57" s="25"/>
      <c r="F57" s="142" t="s">
        <v>221</v>
      </c>
      <c r="G57" s="25"/>
      <c r="H57" s="25"/>
      <c r="I57" s="25"/>
    </row>
    <row r="58" spans="2:9" ht="16.5" x14ac:dyDescent="0.25">
      <c r="B58" s="47" t="s">
        <v>236</v>
      </c>
      <c r="C58" s="23">
        <f>SUM(C59:C60)</f>
        <v>19930011.720000003</v>
      </c>
      <c r="D58" s="21">
        <f>SUM(D59:D60)</f>
        <v>45512876.600000001</v>
      </c>
      <c r="E58" s="23">
        <f>SUM(E59:E60)</f>
        <v>60163679.459999993</v>
      </c>
      <c r="F58" s="142" t="s">
        <v>223</v>
      </c>
      <c r="G58" s="25"/>
      <c r="H58" s="25">
        <v>11000</v>
      </c>
      <c r="I58" s="25">
        <v>25000</v>
      </c>
    </row>
    <row r="59" spans="2:9" ht="16.5" x14ac:dyDescent="0.25">
      <c r="B59" s="29" t="s">
        <v>237</v>
      </c>
      <c r="C59" s="25">
        <v>19930011.720000003</v>
      </c>
      <c r="D59" s="26">
        <v>45512876.600000001</v>
      </c>
      <c r="E59" s="26">
        <v>60163679.459999993</v>
      </c>
      <c r="F59" s="128" t="s">
        <v>238</v>
      </c>
      <c r="G59" s="25">
        <v>58392.46</v>
      </c>
      <c r="H59" s="25">
        <v>58392.46</v>
      </c>
      <c r="I59" s="25">
        <v>58392.46</v>
      </c>
    </row>
    <row r="60" spans="2:9" ht="16.5" x14ac:dyDescent="0.25">
      <c r="B60" s="29" t="s">
        <v>239</v>
      </c>
      <c r="C60" s="25"/>
      <c r="D60" s="26"/>
      <c r="E60" s="25"/>
      <c r="F60" s="128" t="s">
        <v>240</v>
      </c>
      <c r="G60" s="23">
        <f>SUM(G61:G67)</f>
        <v>7605908.8999999985</v>
      </c>
      <c r="H60" s="23">
        <f>SUM(H61:H67)</f>
        <v>34362022.18</v>
      </c>
      <c r="I60" s="23">
        <f>SUM(I61:I67)</f>
        <v>37898696.280000001</v>
      </c>
    </row>
    <row r="61" spans="2:9" x14ac:dyDescent="0.25">
      <c r="B61" s="144"/>
      <c r="C61" s="33"/>
      <c r="D61" s="34"/>
      <c r="E61" s="33"/>
      <c r="F61" s="129" t="s">
        <v>241</v>
      </c>
      <c r="G61" s="25">
        <v>3500000</v>
      </c>
      <c r="H61" s="25">
        <v>20867353.949999999</v>
      </c>
      <c r="I61" s="25">
        <v>20346696.280000001</v>
      </c>
    </row>
    <row r="62" spans="2:9" x14ac:dyDescent="0.25">
      <c r="B62" s="144"/>
      <c r="C62" s="41"/>
      <c r="D62" s="42"/>
      <c r="E62" s="41"/>
      <c r="F62" s="129" t="s">
        <v>242</v>
      </c>
      <c r="G62" s="25"/>
      <c r="H62" s="25"/>
      <c r="I62" s="25"/>
    </row>
    <row r="63" spans="2:9" x14ac:dyDescent="0.25">
      <c r="B63" s="144"/>
      <c r="C63" s="41"/>
      <c r="D63" s="42"/>
      <c r="E63" s="41"/>
      <c r="F63" s="129" t="s">
        <v>243</v>
      </c>
      <c r="G63" s="25">
        <v>3655908.899999998</v>
      </c>
      <c r="H63" s="25">
        <v>11342078.6</v>
      </c>
      <c r="I63" s="25">
        <v>15452000</v>
      </c>
    </row>
    <row r="64" spans="2:9" x14ac:dyDescent="0.25">
      <c r="B64" s="144"/>
      <c r="C64" s="41"/>
      <c r="D64" s="42"/>
      <c r="E64" s="41"/>
      <c r="F64" s="129" t="s">
        <v>244</v>
      </c>
      <c r="G64" s="25">
        <v>150000</v>
      </c>
      <c r="H64" s="25">
        <v>600000</v>
      </c>
      <c r="I64" s="25">
        <v>600000</v>
      </c>
    </row>
    <row r="65" spans="2:9" x14ac:dyDescent="0.25">
      <c r="B65" s="144"/>
      <c r="C65" s="41"/>
      <c r="D65" s="42"/>
      <c r="E65" s="41"/>
      <c r="F65" s="129" t="s">
        <v>245</v>
      </c>
      <c r="G65" s="25"/>
      <c r="H65" s="25"/>
      <c r="I65" s="25"/>
    </row>
    <row r="66" spans="2:9" x14ac:dyDescent="0.25">
      <c r="B66" s="144"/>
      <c r="C66" s="41"/>
      <c r="D66" s="42"/>
      <c r="E66" s="41"/>
      <c r="F66" s="129" t="s">
        <v>246</v>
      </c>
      <c r="G66" s="25">
        <v>300000</v>
      </c>
      <c r="H66" s="25">
        <v>1282589.6299999999</v>
      </c>
      <c r="I66" s="25">
        <v>1500000</v>
      </c>
    </row>
    <row r="67" spans="2:9" x14ac:dyDescent="0.25">
      <c r="B67" s="144"/>
      <c r="C67" s="41"/>
      <c r="D67" s="42"/>
      <c r="E67" s="41"/>
      <c r="F67" s="129" t="s">
        <v>247</v>
      </c>
      <c r="G67" s="25"/>
      <c r="H67" s="25">
        <v>270000</v>
      </c>
      <c r="I67" s="25"/>
    </row>
    <row r="68" spans="2:9" ht="16.5" x14ac:dyDescent="0.25">
      <c r="B68" s="144"/>
      <c r="C68" s="41"/>
      <c r="D68" s="42"/>
      <c r="E68" s="41"/>
      <c r="F68" s="128" t="s">
        <v>248</v>
      </c>
      <c r="G68" s="25"/>
      <c r="H68" s="25">
        <v>5915376.790000001</v>
      </c>
      <c r="I68" s="25">
        <v>2756000</v>
      </c>
    </row>
    <row r="69" spans="2:9" ht="15.75" thickBot="1" x14ac:dyDescent="0.3">
      <c r="B69" s="144"/>
      <c r="C69" s="41"/>
      <c r="D69" s="42"/>
      <c r="E69" s="41"/>
      <c r="F69" s="138"/>
      <c r="G69" s="145"/>
      <c r="H69" s="132"/>
      <c r="I69" s="145"/>
    </row>
    <row r="70" spans="2:9" ht="16.5" thickBot="1" x14ac:dyDescent="0.3">
      <c r="B70" s="146" t="s">
        <v>249</v>
      </c>
      <c r="C70" s="147">
        <f>C10+C33</f>
        <v>745299557.39840007</v>
      </c>
      <c r="D70" s="147">
        <f>D10+D33</f>
        <v>853726707.22000003</v>
      </c>
      <c r="E70" s="147">
        <f>E10+E33</f>
        <v>910076397.99000001</v>
      </c>
      <c r="F70" s="146" t="s">
        <v>250</v>
      </c>
      <c r="G70" s="147">
        <f>G10+G36+G51</f>
        <v>745299557.39999986</v>
      </c>
      <c r="H70" s="147">
        <f>H10+H36+H51</f>
        <v>853726707.22000003</v>
      </c>
      <c r="I70" s="147">
        <f>I10+I36+I51</f>
        <v>910076397.99000013</v>
      </c>
    </row>
    <row r="71" spans="2:9" x14ac:dyDescent="0.25">
      <c r="B71" s="148"/>
      <c r="C71" s="148"/>
      <c r="D71" s="148"/>
      <c r="E71" s="148"/>
      <c r="F71" s="148"/>
      <c r="G71" s="148"/>
      <c r="H71" s="149"/>
      <c r="I71" s="149"/>
    </row>
    <row r="72" spans="2:9" x14ac:dyDescent="0.25">
      <c r="C72" s="150"/>
    </row>
    <row r="73" spans="2:9" x14ac:dyDescent="0.25">
      <c r="D73" s="150"/>
      <c r="E73" s="150"/>
    </row>
  </sheetData>
  <mergeCells count="2">
    <mergeCell ref="B7:B8"/>
    <mergeCell ref="F7:F8"/>
  </mergeCells>
  <conditionalFormatting sqref="D12:E16 D18:E20 D22:E23 D34:E34 D36:E41 D51:E57 H13:I13 H15:I15 H17:I18 H20:I20 H22:I22 H27:I29 H32:I34 H38:I41 H43:I49 H52:I53 I55:I59 I61:I68 D25:E31 D43:E49 D59:E60">
    <cfRule type="cellIs" dxfId="9" priority="5" stopIfTrue="1" operator="lessThan">
      <formula>0</formula>
    </cfRule>
  </conditionalFormatting>
  <conditionalFormatting sqref="H14:I14 H21:I21 H24:I24">
    <cfRule type="cellIs" dxfId="8" priority="6" stopIfTrue="1" operator="greaterThan">
      <formula>0</formula>
    </cfRule>
  </conditionalFormatting>
  <conditionalFormatting sqref="C12:C16 C18:C20 C22:C23 C34 C36:C41 C43:C49 C51:C57 C59:C60 C25:C31">
    <cfRule type="cellIs" dxfId="7" priority="4" stopIfTrue="1" operator="lessThan">
      <formula>0</formula>
    </cfRule>
  </conditionalFormatting>
  <conditionalFormatting sqref="G13 G15 G17:G18 G20 G22 G27:G29 G32:G34 G38:G41 G43:G49 G52:G53 G55:G59 G61:G68">
    <cfRule type="cellIs" dxfId="6" priority="2" stopIfTrue="1" operator="lessThan">
      <formula>0</formula>
    </cfRule>
  </conditionalFormatting>
  <conditionalFormatting sqref="G14 G21 G24">
    <cfRule type="cellIs" dxfId="5" priority="3" stopIfTrue="1" operator="greaterThan">
      <formula>0</formula>
    </cfRule>
  </conditionalFormatting>
  <conditionalFormatting sqref="H55:H59 H61:H68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4"/>
  <sheetViews>
    <sheetView topLeftCell="A49" workbookViewId="0">
      <selection activeCell="G43" sqref="G42:G43"/>
    </sheetView>
  </sheetViews>
  <sheetFormatPr baseColWidth="10" defaultRowHeight="15" x14ac:dyDescent="0.25"/>
  <cols>
    <col min="2" max="2" width="59.140625" customWidth="1"/>
    <col min="3" max="3" width="17.5703125" customWidth="1"/>
    <col min="4" max="4" width="20" customWidth="1"/>
    <col min="5" max="5" width="20.140625" customWidth="1"/>
  </cols>
  <sheetData>
    <row r="2" spans="2:5" ht="18.75" thickBot="1" x14ac:dyDescent="0.3">
      <c r="B2" s="229" t="s">
        <v>251</v>
      </c>
      <c r="C2" s="229"/>
      <c r="D2" s="229"/>
      <c r="E2" s="229"/>
    </row>
    <row r="3" spans="2:5" ht="17.25" thickTop="1" thickBot="1" x14ac:dyDescent="0.3">
      <c r="B3" s="3" t="s">
        <v>0</v>
      </c>
      <c r="C3" s="3"/>
      <c r="D3" s="3"/>
      <c r="E3" s="4" t="s">
        <v>252</v>
      </c>
    </row>
    <row r="4" spans="2:5" ht="16.5" thickTop="1" x14ac:dyDescent="0.25">
      <c r="B4" s="112" t="s">
        <v>1</v>
      </c>
      <c r="C4" s="3"/>
      <c r="D4" s="3"/>
      <c r="E4" s="2"/>
    </row>
    <row r="5" spans="2:5" ht="15.75" x14ac:dyDescent="0.25">
      <c r="B5" s="112" t="s">
        <v>3</v>
      </c>
      <c r="C5" s="3"/>
      <c r="D5" s="3"/>
      <c r="E5" s="2"/>
    </row>
    <row r="6" spans="2:5" ht="15.75" x14ac:dyDescent="0.25">
      <c r="B6" s="112" t="s">
        <v>4</v>
      </c>
      <c r="C6" s="3"/>
      <c r="D6" s="3"/>
      <c r="E6" s="2"/>
    </row>
    <row r="7" spans="2:5" ht="16.5" thickBot="1" x14ac:dyDescent="0.3">
      <c r="B7" s="3"/>
      <c r="C7" s="3"/>
      <c r="D7" s="3"/>
      <c r="E7" s="6"/>
    </row>
    <row r="8" spans="2:5" ht="15.75" x14ac:dyDescent="0.25">
      <c r="B8" s="7"/>
      <c r="C8" s="8" t="s">
        <v>6</v>
      </c>
      <c r="D8" s="10" t="s">
        <v>7</v>
      </c>
      <c r="E8" s="9" t="s">
        <v>6</v>
      </c>
    </row>
    <row r="9" spans="2:5" ht="16.5" thickBot="1" x14ac:dyDescent="0.3">
      <c r="B9" s="11"/>
      <c r="C9" s="12">
        <v>2019</v>
      </c>
      <c r="D9" s="12">
        <v>2019</v>
      </c>
      <c r="E9" s="13">
        <v>2020</v>
      </c>
    </row>
    <row r="10" spans="2:5" ht="16.5" thickTop="1" x14ac:dyDescent="0.25">
      <c r="B10" s="14"/>
      <c r="C10" s="15"/>
      <c r="D10" s="15"/>
      <c r="E10" s="16"/>
    </row>
    <row r="11" spans="2:5" ht="15.75" x14ac:dyDescent="0.25">
      <c r="B11" s="17" t="s">
        <v>253</v>
      </c>
      <c r="C11" s="18"/>
      <c r="D11" s="18"/>
      <c r="E11" s="19"/>
    </row>
    <row r="12" spans="2:5" ht="16.5" x14ac:dyDescent="0.25">
      <c r="B12" s="20" t="s">
        <v>254</v>
      </c>
      <c r="C12" s="21">
        <v>19510483.250000011</v>
      </c>
      <c r="D12" s="21">
        <v>26652938.820000008</v>
      </c>
      <c r="E12" s="23">
        <v>12517575.520000003</v>
      </c>
    </row>
    <row r="13" spans="2:5" ht="16.5" x14ac:dyDescent="0.25">
      <c r="B13" s="20" t="s">
        <v>255</v>
      </c>
      <c r="C13" s="21">
        <f>SUM(C14:C24)</f>
        <v>9826248.4800000004</v>
      </c>
      <c r="D13" s="21">
        <f>SUM(D14:D24)</f>
        <v>2133248.48</v>
      </c>
      <c r="E13" s="23">
        <f>SUM(E14:E24)</f>
        <v>7639105.2300000004</v>
      </c>
    </row>
    <row r="14" spans="2:5" x14ac:dyDescent="0.25">
      <c r="B14" s="22" t="s">
        <v>256</v>
      </c>
      <c r="C14" s="21">
        <v>12425000</v>
      </c>
      <c r="D14" s="21">
        <v>12432000</v>
      </c>
      <c r="E14" s="23">
        <v>14149105.23</v>
      </c>
    </row>
    <row r="15" spans="2:5" x14ac:dyDescent="0.25">
      <c r="B15" s="22" t="s">
        <v>257</v>
      </c>
      <c r="C15" s="21">
        <v>0</v>
      </c>
      <c r="D15" s="21">
        <v>-4000000</v>
      </c>
      <c r="E15" s="21">
        <v>0</v>
      </c>
    </row>
    <row r="16" spans="2:5" x14ac:dyDescent="0.25">
      <c r="B16" s="22" t="s">
        <v>258</v>
      </c>
      <c r="C16" s="21">
        <v>2000000</v>
      </c>
      <c r="D16" s="21">
        <v>500000</v>
      </c>
      <c r="E16" s="21">
        <v>-500000</v>
      </c>
    </row>
    <row r="17" spans="2:5" x14ac:dyDescent="0.25">
      <c r="B17" s="22" t="s">
        <v>259</v>
      </c>
      <c r="C17" s="21">
        <v>-5000000</v>
      </c>
      <c r="D17" s="21">
        <v>-7700000</v>
      </c>
      <c r="E17" s="23">
        <v>-6360000</v>
      </c>
    </row>
    <row r="18" spans="2:5" x14ac:dyDescent="0.25">
      <c r="B18" s="22" t="s">
        <v>260</v>
      </c>
      <c r="C18" s="21">
        <v>0</v>
      </c>
      <c r="D18" s="21">
        <v>500000</v>
      </c>
      <c r="E18" s="23">
        <v>300000</v>
      </c>
    </row>
    <row r="19" spans="2:5" x14ac:dyDescent="0.25">
      <c r="B19" s="22" t="s">
        <v>261</v>
      </c>
      <c r="C19" s="21">
        <v>0</v>
      </c>
      <c r="D19" s="21">
        <v>0</v>
      </c>
      <c r="E19" s="23">
        <v>0</v>
      </c>
    </row>
    <row r="20" spans="2:5" x14ac:dyDescent="0.25">
      <c r="B20" s="22" t="s">
        <v>262</v>
      </c>
      <c r="C20" s="21">
        <v>-200000</v>
      </c>
      <c r="D20" s="21">
        <v>-200000</v>
      </c>
      <c r="E20" s="23">
        <v>-100000</v>
      </c>
    </row>
    <row r="21" spans="2:5" x14ac:dyDescent="0.25">
      <c r="B21" s="22" t="s">
        <v>263</v>
      </c>
      <c r="C21" s="21">
        <v>601248.48</v>
      </c>
      <c r="D21" s="21">
        <v>601248.48</v>
      </c>
      <c r="E21" s="23">
        <v>150000</v>
      </c>
    </row>
    <row r="22" spans="2:5" x14ac:dyDescent="0.25">
      <c r="B22" s="22" t="s">
        <v>264</v>
      </c>
      <c r="C22" s="21">
        <v>0</v>
      </c>
      <c r="D22" s="21">
        <v>0</v>
      </c>
      <c r="E22" s="23">
        <v>0</v>
      </c>
    </row>
    <row r="23" spans="2:5" x14ac:dyDescent="0.25">
      <c r="B23" s="22" t="s">
        <v>265</v>
      </c>
      <c r="C23" s="21">
        <v>0</v>
      </c>
      <c r="D23" s="21">
        <v>0</v>
      </c>
      <c r="E23" s="23">
        <v>0</v>
      </c>
    </row>
    <row r="24" spans="2:5" x14ac:dyDescent="0.25">
      <c r="B24" s="22" t="s">
        <v>266</v>
      </c>
      <c r="C24" s="21"/>
      <c r="D24" s="26"/>
      <c r="E24" s="25"/>
    </row>
    <row r="25" spans="2:5" ht="16.5" x14ac:dyDescent="0.25">
      <c r="B25" s="28" t="s">
        <v>267</v>
      </c>
      <c r="C25" s="21">
        <f t="shared" ref="C25:E25" si="0">SUM(C26:C31)</f>
        <v>-3469487.3700000085</v>
      </c>
      <c r="D25" s="21">
        <f t="shared" si="0"/>
        <v>-32599032.559999976</v>
      </c>
      <c r="E25" s="23">
        <f t="shared" si="0"/>
        <v>62400693.130000003</v>
      </c>
    </row>
    <row r="26" spans="2:5" x14ac:dyDescent="0.25">
      <c r="B26" s="22" t="s">
        <v>268</v>
      </c>
      <c r="C26" s="21"/>
      <c r="D26" s="26"/>
      <c r="E26" s="25"/>
    </row>
    <row r="27" spans="2:5" x14ac:dyDescent="0.25">
      <c r="B27" s="29" t="s">
        <v>269</v>
      </c>
      <c r="C27" s="151">
        <v>10843100.329999998</v>
      </c>
      <c r="D27" s="35">
        <v>-33733698.959999979</v>
      </c>
      <c r="E27" s="25">
        <v>58864019.030000001</v>
      </c>
    </row>
    <row r="28" spans="2:5" x14ac:dyDescent="0.25">
      <c r="B28" s="29" t="s">
        <v>270</v>
      </c>
      <c r="C28" s="151"/>
      <c r="D28" s="35"/>
      <c r="E28" s="25"/>
    </row>
    <row r="29" spans="2:5" x14ac:dyDescent="0.25">
      <c r="B29" s="29" t="s">
        <v>271</v>
      </c>
      <c r="C29" s="151">
        <v>-12312587.700000007</v>
      </c>
      <c r="D29" s="35">
        <v>1134666.4000000022</v>
      </c>
      <c r="E29" s="25">
        <v>3536674.1000000015</v>
      </c>
    </row>
    <row r="30" spans="2:5" x14ac:dyDescent="0.25">
      <c r="B30" s="29" t="s">
        <v>272</v>
      </c>
      <c r="C30" s="151"/>
      <c r="D30" s="35">
        <v>0</v>
      </c>
      <c r="E30" s="25">
        <v>0</v>
      </c>
    </row>
    <row r="31" spans="2:5" x14ac:dyDescent="0.25">
      <c r="B31" s="29" t="s">
        <v>273</v>
      </c>
      <c r="C31" s="151">
        <v>-2000000</v>
      </c>
      <c r="D31" s="35"/>
      <c r="E31" s="25"/>
    </row>
    <row r="32" spans="2:5" ht="16.5" x14ac:dyDescent="0.25">
      <c r="B32" s="31" t="s">
        <v>274</v>
      </c>
      <c r="C32" s="151">
        <f>SUM(C33:C37)</f>
        <v>-21181650.150000002</v>
      </c>
      <c r="D32" s="151">
        <f>SUM(D33:D37)</f>
        <v>36885588.979999974</v>
      </c>
      <c r="E32" s="23">
        <f>SUM(E33:E37)</f>
        <v>-15316284.039999999</v>
      </c>
    </row>
    <row r="33" spans="2:5" x14ac:dyDescent="0.25">
      <c r="B33" s="29" t="s">
        <v>275</v>
      </c>
      <c r="C33" s="151">
        <v>-601248.48</v>
      </c>
      <c r="D33" s="35">
        <v>-815684.46</v>
      </c>
      <c r="E33" s="25">
        <v>-200000</v>
      </c>
    </row>
    <row r="34" spans="2:5" x14ac:dyDescent="0.25">
      <c r="B34" s="29" t="s">
        <v>276</v>
      </c>
      <c r="C34" s="151"/>
      <c r="D34" s="35"/>
      <c r="E34" s="25"/>
    </row>
    <row r="35" spans="2:5" x14ac:dyDescent="0.25">
      <c r="B35" s="29" t="s">
        <v>277</v>
      </c>
      <c r="C35" s="151">
        <v>200000</v>
      </c>
      <c r="D35" s="35">
        <v>200000</v>
      </c>
      <c r="E35" s="25">
        <v>100000</v>
      </c>
    </row>
    <row r="36" spans="2:5" x14ac:dyDescent="0.25">
      <c r="B36" s="29" t="s">
        <v>278</v>
      </c>
      <c r="C36" s="152">
        <v>200</v>
      </c>
      <c r="D36" s="152">
        <v>12573.0299999788</v>
      </c>
      <c r="E36" s="33">
        <v>7500</v>
      </c>
    </row>
    <row r="37" spans="2:5" x14ac:dyDescent="0.25">
      <c r="B37" s="29" t="s">
        <v>279</v>
      </c>
      <c r="C37" s="152">
        <v>-20780601.670000002</v>
      </c>
      <c r="D37" s="153">
        <v>37488700.409999996</v>
      </c>
      <c r="E37" s="171">
        <v>-15223784.039999999</v>
      </c>
    </row>
    <row r="38" spans="2:5" ht="16.5" x14ac:dyDescent="0.25">
      <c r="B38" s="154" t="s">
        <v>280</v>
      </c>
      <c r="C38" s="38">
        <f>C12+C13+C25+C32</f>
        <v>4685594.2100000009</v>
      </c>
      <c r="D38" s="38">
        <f>D12+D13+D25+D32</f>
        <v>33072743.720000006</v>
      </c>
      <c r="E38" s="37">
        <f>E12+E13+E25+E32</f>
        <v>67241089.840000004</v>
      </c>
    </row>
    <row r="39" spans="2:5" ht="16.5" x14ac:dyDescent="0.25">
      <c r="B39" s="31"/>
      <c r="C39" s="156"/>
      <c r="D39" s="155"/>
      <c r="E39" s="157"/>
    </row>
    <row r="40" spans="2:5" ht="15.75" x14ac:dyDescent="0.25">
      <c r="B40" s="48" t="s">
        <v>281</v>
      </c>
      <c r="C40" s="151"/>
      <c r="D40" s="30"/>
      <c r="E40" s="19"/>
    </row>
    <row r="41" spans="2:5" ht="16.5" x14ac:dyDescent="0.25">
      <c r="B41" s="31" t="s">
        <v>282</v>
      </c>
      <c r="C41" s="151">
        <f>SUM(C42:C47)</f>
        <v>-99018212.945999995</v>
      </c>
      <c r="D41" s="151">
        <f>SUM(D42:D47)</f>
        <v>-72250755.540000007</v>
      </c>
      <c r="E41" s="23">
        <f>SUM(E42:E47)</f>
        <v>-115387012.17</v>
      </c>
    </row>
    <row r="42" spans="2:5" x14ac:dyDescent="0.25">
      <c r="B42" s="29" t="s">
        <v>283</v>
      </c>
      <c r="C42" s="151">
        <v>-160000</v>
      </c>
      <c r="D42" s="35"/>
      <c r="E42" s="25">
        <v>-132873.97</v>
      </c>
    </row>
    <row r="43" spans="2:5" x14ac:dyDescent="0.25">
      <c r="B43" s="29" t="s">
        <v>284</v>
      </c>
      <c r="C43" s="151">
        <v>-1003615.32</v>
      </c>
      <c r="D43" s="35">
        <v>-2912090.64</v>
      </c>
      <c r="E43" s="25">
        <v>-310000</v>
      </c>
    </row>
    <row r="44" spans="2:5" x14ac:dyDescent="0.25">
      <c r="B44" s="29" t="s">
        <v>285</v>
      </c>
      <c r="C44" s="151">
        <v>-97654597.626000002</v>
      </c>
      <c r="D44" s="35">
        <v>-68838664.900000006</v>
      </c>
      <c r="E44" s="25">
        <v>-114444138.2</v>
      </c>
    </row>
    <row r="45" spans="2:5" x14ac:dyDescent="0.25">
      <c r="B45" s="29" t="s">
        <v>286</v>
      </c>
      <c r="C45" s="151">
        <v>-200000</v>
      </c>
      <c r="D45" s="35">
        <v>-500000</v>
      </c>
      <c r="E45" s="25">
        <v>-500000</v>
      </c>
    </row>
    <row r="46" spans="2:5" x14ac:dyDescent="0.25">
      <c r="B46" s="29" t="s">
        <v>287</v>
      </c>
      <c r="C46" s="151"/>
      <c r="D46" s="35"/>
      <c r="E46" s="25"/>
    </row>
    <row r="47" spans="2:5" x14ac:dyDescent="0.25">
      <c r="B47" s="29" t="s">
        <v>288</v>
      </c>
      <c r="C47" s="151"/>
      <c r="D47" s="35"/>
      <c r="E47" s="25"/>
    </row>
    <row r="48" spans="2:5" ht="16.5" x14ac:dyDescent="0.25">
      <c r="B48" s="31" t="s">
        <v>289</v>
      </c>
      <c r="C48" s="21">
        <f>SUM(C49:C54)</f>
        <v>750000</v>
      </c>
      <c r="D48" s="21">
        <f>SUM(D49:D54)</f>
        <v>750000</v>
      </c>
      <c r="E48" s="23">
        <f>SUM(E49:E54)</f>
        <v>800000</v>
      </c>
    </row>
    <row r="49" spans="2:5" x14ac:dyDescent="0.25">
      <c r="B49" s="29" t="s">
        <v>283</v>
      </c>
      <c r="C49" s="151"/>
      <c r="D49" s="35"/>
      <c r="E49" s="25"/>
    </row>
    <row r="50" spans="2:5" x14ac:dyDescent="0.25">
      <c r="B50" s="29" t="s">
        <v>284</v>
      </c>
      <c r="C50" s="151"/>
      <c r="D50" s="35"/>
      <c r="E50" s="25"/>
    </row>
    <row r="51" spans="2:5" x14ac:dyDescent="0.25">
      <c r="B51" s="29" t="s">
        <v>285</v>
      </c>
      <c r="C51" s="151"/>
      <c r="D51" s="35"/>
      <c r="E51" s="25"/>
    </row>
    <row r="52" spans="2:5" x14ac:dyDescent="0.25">
      <c r="B52" s="29" t="s">
        <v>286</v>
      </c>
      <c r="C52" s="151">
        <v>750000</v>
      </c>
      <c r="D52" s="35">
        <v>750000</v>
      </c>
      <c r="E52" s="25">
        <v>800000</v>
      </c>
    </row>
    <row r="53" spans="2:5" x14ac:dyDescent="0.25">
      <c r="B53" s="29" t="s">
        <v>287</v>
      </c>
      <c r="C53" s="151"/>
      <c r="D53" s="35"/>
      <c r="E53" s="25"/>
    </row>
    <row r="54" spans="2:5" x14ac:dyDescent="0.25">
      <c r="B54" s="29" t="s">
        <v>288</v>
      </c>
      <c r="C54" s="151"/>
      <c r="D54" s="35"/>
      <c r="E54" s="25"/>
    </row>
    <row r="55" spans="2:5" ht="16.5" x14ac:dyDescent="0.25">
      <c r="B55" s="154" t="s">
        <v>290</v>
      </c>
      <c r="C55" s="38">
        <f>C41+C48</f>
        <v>-98268212.945999995</v>
      </c>
      <c r="D55" s="38">
        <f>D41+D48</f>
        <v>-71500755.540000007</v>
      </c>
      <c r="E55" s="37">
        <f>E41+E48</f>
        <v>-114587012.17</v>
      </c>
    </row>
    <row r="56" spans="2:5" ht="16.5" x14ac:dyDescent="0.25">
      <c r="B56" s="31"/>
      <c r="C56" s="21"/>
      <c r="D56" s="18"/>
      <c r="E56" s="19"/>
    </row>
    <row r="57" spans="2:5" ht="15.75" x14ac:dyDescent="0.25">
      <c r="B57" s="48" t="s">
        <v>291</v>
      </c>
      <c r="C57" s="21"/>
      <c r="D57" s="18"/>
      <c r="E57" s="19"/>
    </row>
    <row r="58" spans="2:5" ht="16.5" x14ac:dyDescent="0.25">
      <c r="B58" s="31" t="s">
        <v>292</v>
      </c>
      <c r="C58" s="21">
        <f>SUM(C59:C61)</f>
        <v>89406100.329999998</v>
      </c>
      <c r="D58" s="21">
        <f>SUM(D59:D61)</f>
        <v>43685888.210000001</v>
      </c>
      <c r="E58" s="23">
        <f>SUM(E59:E61)</f>
        <v>82332415.650000006</v>
      </c>
    </row>
    <row r="59" spans="2:5" x14ac:dyDescent="0.25">
      <c r="B59" s="29" t="s">
        <v>293</v>
      </c>
      <c r="C59" s="151"/>
      <c r="D59" s="35"/>
      <c r="E59" s="25"/>
    </row>
    <row r="60" spans="2:5" x14ac:dyDescent="0.25">
      <c r="B60" s="29" t="s">
        <v>294</v>
      </c>
      <c r="C60" s="151"/>
      <c r="D60" s="158"/>
      <c r="E60" s="135"/>
    </row>
    <row r="61" spans="2:5" x14ac:dyDescent="0.25">
      <c r="B61" s="29" t="s">
        <v>295</v>
      </c>
      <c r="C61" s="151">
        <v>89406100.329999998</v>
      </c>
      <c r="D61" s="158">
        <v>43685888.210000001</v>
      </c>
      <c r="E61" s="158">
        <v>82332415.650000006</v>
      </c>
    </row>
    <row r="62" spans="2:5" ht="16.5" x14ac:dyDescent="0.25">
      <c r="B62" s="31" t="s">
        <v>296</v>
      </c>
      <c r="C62" s="21">
        <f>C63+C67</f>
        <v>-5662461.6699999999</v>
      </c>
      <c r="D62" s="21">
        <v>-5586065.1799999997</v>
      </c>
      <c r="E62" s="23">
        <f>E63+E67</f>
        <v>-20335690.460000001</v>
      </c>
    </row>
    <row r="63" spans="2:5" x14ac:dyDescent="0.25">
      <c r="B63" s="29" t="s">
        <v>297</v>
      </c>
      <c r="C63" s="21">
        <f>SUM(C64:C66)</f>
        <v>0</v>
      </c>
      <c r="D63" s="21">
        <f>SUM(D64:D66)</f>
        <v>0</v>
      </c>
      <c r="E63" s="23">
        <f>SUM(E64:E66)</f>
        <v>0</v>
      </c>
    </row>
    <row r="64" spans="2:5" x14ac:dyDescent="0.25">
      <c r="B64" s="29" t="s">
        <v>298</v>
      </c>
      <c r="C64" s="151"/>
      <c r="D64" s="35"/>
      <c r="E64" s="25"/>
    </row>
    <row r="65" spans="2:5" x14ac:dyDescent="0.25">
      <c r="B65" s="29" t="s">
        <v>299</v>
      </c>
      <c r="C65" s="151"/>
      <c r="D65" s="35"/>
      <c r="E65" s="25"/>
    </row>
    <row r="66" spans="2:5" x14ac:dyDescent="0.25">
      <c r="B66" s="29" t="s">
        <v>300</v>
      </c>
      <c r="C66" s="151"/>
      <c r="D66" s="35"/>
      <c r="E66" s="25"/>
    </row>
    <row r="67" spans="2:5" x14ac:dyDescent="0.25">
      <c r="B67" s="29" t="s">
        <v>301</v>
      </c>
      <c r="C67" s="21">
        <f>SUM(C68:C70)</f>
        <v>-5662461.6699999999</v>
      </c>
      <c r="D67" s="21">
        <f>SUM(D68:D70)</f>
        <v>-5586065.1799999997</v>
      </c>
      <c r="E67" s="23">
        <f>SUM(E68:E70)</f>
        <v>-20335690.460000001</v>
      </c>
    </row>
    <row r="68" spans="2:5" x14ac:dyDescent="0.25">
      <c r="B68" s="29" t="s">
        <v>298</v>
      </c>
      <c r="C68" s="152">
        <v>-5662461.6699999999</v>
      </c>
      <c r="D68" s="152">
        <v>-5586065.1799999997</v>
      </c>
      <c r="E68" s="25">
        <v>-20335690.460000001</v>
      </c>
    </row>
    <row r="69" spans="2:5" x14ac:dyDescent="0.25">
      <c r="B69" s="29" t="s">
        <v>299</v>
      </c>
      <c r="C69" s="151"/>
      <c r="D69" s="35"/>
      <c r="E69" s="25"/>
    </row>
    <row r="70" spans="2:5" x14ac:dyDescent="0.25">
      <c r="B70" s="29" t="s">
        <v>300</v>
      </c>
      <c r="C70" s="151"/>
      <c r="D70" s="35"/>
      <c r="E70" s="25"/>
    </row>
    <row r="71" spans="2:5" ht="16.5" x14ac:dyDescent="0.25">
      <c r="B71" s="31" t="s">
        <v>302</v>
      </c>
      <c r="C71" s="21">
        <f>SUM(C72:C73)</f>
        <v>0</v>
      </c>
      <c r="D71" s="21">
        <f>SUM(D72:D73)</f>
        <v>0</v>
      </c>
      <c r="E71" s="23">
        <f>SUM(E72:E73)</f>
        <v>0</v>
      </c>
    </row>
    <row r="72" spans="2:5" x14ac:dyDescent="0.25">
      <c r="B72" s="29" t="s">
        <v>303</v>
      </c>
      <c r="C72" s="151"/>
      <c r="D72" s="35"/>
      <c r="E72" s="25"/>
    </row>
    <row r="73" spans="2:5" x14ac:dyDescent="0.25">
      <c r="B73" s="29" t="s">
        <v>304</v>
      </c>
      <c r="C73" s="151"/>
      <c r="D73" s="35"/>
      <c r="E73" s="25"/>
    </row>
    <row r="74" spans="2:5" ht="16.5" x14ac:dyDescent="0.25">
      <c r="B74" s="154" t="s">
        <v>305</v>
      </c>
      <c r="C74" s="38">
        <f>C58+C62+C71</f>
        <v>83743638.659999996</v>
      </c>
      <c r="D74" s="38">
        <f>D58+D62+D71</f>
        <v>38099823.030000001</v>
      </c>
      <c r="E74" s="37">
        <f>E58+E62+E71</f>
        <v>61996725.190000005</v>
      </c>
    </row>
    <row r="75" spans="2:5" x14ac:dyDescent="0.25">
      <c r="B75" s="29"/>
      <c r="C75" s="34"/>
      <c r="D75" s="32"/>
      <c r="E75" s="159"/>
    </row>
    <row r="76" spans="2:5" ht="15.75" x14ac:dyDescent="0.25">
      <c r="B76" s="160" t="s">
        <v>306</v>
      </c>
      <c r="C76" s="38"/>
      <c r="D76" s="161"/>
      <c r="E76" s="162"/>
    </row>
    <row r="77" spans="2:5" x14ac:dyDescent="0.25">
      <c r="B77" s="29"/>
      <c r="C77" s="42"/>
      <c r="D77" s="40"/>
      <c r="E77" s="163"/>
    </row>
    <row r="78" spans="2:5" ht="34.5" x14ac:dyDescent="0.25">
      <c r="B78" s="164" t="s">
        <v>307</v>
      </c>
      <c r="C78" s="170">
        <f>C38+C55+C74+C76</f>
        <v>-9838980.076000005</v>
      </c>
      <c r="D78" s="170">
        <f>D38+D55+D74+D76</f>
        <v>-328188.78999999911</v>
      </c>
      <c r="E78" s="170">
        <f>E38+E55+E74+E76</f>
        <v>14650802.860000007</v>
      </c>
    </row>
    <row r="79" spans="2:5" ht="16.5" x14ac:dyDescent="0.25">
      <c r="B79" s="31" t="s">
        <v>308</v>
      </c>
      <c r="C79" s="165">
        <v>29768991.800000001</v>
      </c>
      <c r="D79" s="165">
        <v>45841065.390000001</v>
      </c>
      <c r="E79" s="166">
        <f>D80</f>
        <v>45512876.600000001</v>
      </c>
    </row>
    <row r="80" spans="2:5" ht="17.25" thickBot="1" x14ac:dyDescent="0.3">
      <c r="B80" s="167" t="s">
        <v>309</v>
      </c>
      <c r="C80" s="168">
        <v>19930011.720000003</v>
      </c>
      <c r="D80" s="168">
        <v>45512876.600000001</v>
      </c>
      <c r="E80" s="169">
        <v>60163679.459999993</v>
      </c>
    </row>
    <row r="84" spans="3:5" x14ac:dyDescent="0.25">
      <c r="C84" s="150"/>
      <c r="D84" s="150"/>
      <c r="E84" s="150"/>
    </row>
  </sheetData>
  <mergeCells count="1">
    <mergeCell ref="B2:E2"/>
  </mergeCells>
  <conditionalFormatting sqref="C78">
    <cfRule type="cellIs" dxfId="3" priority="3" stopIfTrue="1" operator="notEqual">
      <formula>$C$81-$C$80</formula>
    </cfRule>
  </conditionalFormatting>
  <conditionalFormatting sqref="E68 C42:E47 C60:E60 C69:E70 C72:E73 C33:E33">
    <cfRule type="cellIs" dxfId="2" priority="4" stopIfTrue="1" operator="greaterThan">
      <formula>0</formula>
    </cfRule>
  </conditionalFormatting>
  <conditionalFormatting sqref="C34:E35 C49:E54 C59:E59 C64:E66 C61:E61">
    <cfRule type="cellIs" dxfId="1" priority="5" stopIfTrue="1" operator="lessThan">
      <formula>0</formula>
    </cfRule>
  </conditionalFormatting>
  <conditionalFormatting sqref="D78:E78">
    <cfRule type="cellIs" dxfId="0" priority="1" stopIfTrue="1" operator="notEqual">
      <formula>$C$81-$C$80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opLeftCell="A19" workbookViewId="0">
      <selection activeCell="F29" sqref="F29"/>
    </sheetView>
  </sheetViews>
  <sheetFormatPr baseColWidth="10" defaultRowHeight="15" x14ac:dyDescent="0.25"/>
  <cols>
    <col min="2" max="2" width="26.140625" customWidth="1"/>
    <col min="4" max="4" width="14.28515625" customWidth="1"/>
    <col min="5" max="5" width="13.140625" customWidth="1"/>
    <col min="7" max="7" width="14" customWidth="1"/>
    <col min="8" max="8" width="17.85546875" customWidth="1"/>
    <col min="10" max="10" width="14.42578125" customWidth="1"/>
    <col min="11" max="11" width="16.42578125" customWidth="1"/>
    <col min="13" max="13" width="13.5703125" customWidth="1"/>
    <col min="14" max="14" width="15.7109375" customWidth="1"/>
  </cols>
  <sheetData>
    <row r="2" spans="2:15" ht="15.75" thickBot="1" x14ac:dyDescent="0.3"/>
    <row r="3" spans="2:15" ht="19.5" thickTop="1" thickBot="1" x14ac:dyDescent="0.3">
      <c r="B3" s="172" t="s">
        <v>3</v>
      </c>
      <c r="G3" s="173" t="s">
        <v>310</v>
      </c>
      <c r="O3" s="174" t="s">
        <v>311</v>
      </c>
    </row>
    <row r="4" spans="2:15" ht="16.5" thickTop="1" x14ac:dyDescent="0.25">
      <c r="B4" s="175" t="s">
        <v>4</v>
      </c>
      <c r="G4" s="176"/>
    </row>
    <row r="5" spans="2:15" ht="15.75" x14ac:dyDescent="0.25">
      <c r="B5" s="175" t="s">
        <v>5</v>
      </c>
      <c r="C5" s="172"/>
      <c r="D5" s="172"/>
      <c r="E5" s="172"/>
      <c r="F5" s="172"/>
      <c r="G5" s="172"/>
      <c r="H5" s="172"/>
      <c r="J5" s="176"/>
      <c r="K5" s="176"/>
      <c r="L5" s="176"/>
    </row>
    <row r="6" spans="2:15" ht="15.75" x14ac:dyDescent="0.25">
      <c r="B6" s="175"/>
      <c r="C6" s="172"/>
      <c r="D6" s="172"/>
      <c r="E6" s="172"/>
      <c r="F6" s="172"/>
      <c r="G6" s="172"/>
      <c r="H6" s="172"/>
      <c r="J6" s="176"/>
      <c r="K6" s="176"/>
      <c r="L6" s="176"/>
      <c r="M6" s="175"/>
    </row>
    <row r="7" spans="2:15" ht="15.75" thickBot="1" x14ac:dyDescent="0.3">
      <c r="B7" s="177"/>
      <c r="C7" s="177"/>
      <c r="D7" s="177"/>
      <c r="E7" s="177"/>
      <c r="F7" s="177"/>
      <c r="H7" s="177"/>
      <c r="I7" s="178"/>
      <c r="J7" s="179"/>
      <c r="K7" s="179"/>
      <c r="L7" s="179"/>
      <c r="M7" s="177"/>
      <c r="N7" s="179"/>
    </row>
    <row r="8" spans="2:15" ht="32.25" customHeight="1" x14ac:dyDescent="0.25">
      <c r="B8" s="180" t="s">
        <v>312</v>
      </c>
      <c r="C8" s="181" t="s">
        <v>313</v>
      </c>
      <c r="D8" s="235" t="s">
        <v>314</v>
      </c>
      <c r="E8" s="236"/>
      <c r="F8" s="236"/>
      <c r="G8" s="236"/>
      <c r="H8" s="237"/>
      <c r="I8" s="181" t="s">
        <v>313</v>
      </c>
      <c r="J8" s="235" t="s">
        <v>315</v>
      </c>
      <c r="K8" s="236"/>
      <c r="L8" s="236"/>
      <c r="M8" s="236"/>
      <c r="N8" s="237"/>
      <c r="O8" s="182" t="s">
        <v>316</v>
      </c>
    </row>
    <row r="9" spans="2:15" ht="51" customHeight="1" thickBot="1" x14ac:dyDescent="0.3">
      <c r="B9" s="183" t="s">
        <v>317</v>
      </c>
      <c r="C9" s="184" t="s">
        <v>318</v>
      </c>
      <c r="D9" s="185" t="s">
        <v>319</v>
      </c>
      <c r="E9" s="185" t="s">
        <v>320</v>
      </c>
      <c r="F9" s="185" t="s">
        <v>321</v>
      </c>
      <c r="G9" s="185" t="s">
        <v>322</v>
      </c>
      <c r="H9" s="185" t="s">
        <v>323</v>
      </c>
      <c r="I9" s="186" t="s">
        <v>324</v>
      </c>
      <c r="J9" s="185" t="s">
        <v>319</v>
      </c>
      <c r="K9" s="185" t="s">
        <v>320</v>
      </c>
      <c r="L9" s="185" t="s">
        <v>321</v>
      </c>
      <c r="M9" s="185" t="s">
        <v>322</v>
      </c>
      <c r="N9" s="185" t="s">
        <v>325</v>
      </c>
      <c r="O9" s="187" t="s">
        <v>326</v>
      </c>
    </row>
    <row r="10" spans="2:15" ht="15.75" thickTop="1" x14ac:dyDescent="0.25">
      <c r="B10" s="188" t="s">
        <v>327</v>
      </c>
      <c r="C10" s="189">
        <v>2</v>
      </c>
      <c r="D10" s="190">
        <v>193980.73</v>
      </c>
      <c r="E10" s="190"/>
      <c r="F10" s="190"/>
      <c r="G10" s="190">
        <v>30281.54</v>
      </c>
      <c r="H10" s="191">
        <f t="shared" ref="H10:H20" si="0">ROUND(SUM(D10:G10),2)</f>
        <v>224262.27</v>
      </c>
      <c r="I10" s="189">
        <v>2</v>
      </c>
      <c r="J10" s="190">
        <v>205023.87999999998</v>
      </c>
      <c r="K10" s="190"/>
      <c r="L10" s="190"/>
      <c r="M10" s="190">
        <v>27360</v>
      </c>
      <c r="N10" s="192">
        <f t="shared" ref="N10:N20" si="1">SUM(J10:M10)</f>
        <v>232383.87999999998</v>
      </c>
      <c r="O10" s="193">
        <f t="shared" ref="O10:O21" si="2">IF(H10=0," ",(H10/N10)-1)</f>
        <v>-3.4949110928004123E-2</v>
      </c>
    </row>
    <row r="11" spans="2:15" x14ac:dyDescent="0.25">
      <c r="B11" s="188" t="s">
        <v>328</v>
      </c>
      <c r="C11" s="189">
        <v>6</v>
      </c>
      <c r="D11" s="190">
        <v>516227.87</v>
      </c>
      <c r="E11" s="190">
        <v>29990.65</v>
      </c>
      <c r="F11" s="190"/>
      <c r="G11" s="190">
        <v>84762</v>
      </c>
      <c r="H11" s="194">
        <f t="shared" si="0"/>
        <v>630980.52</v>
      </c>
      <c r="I11" s="189">
        <v>6</v>
      </c>
      <c r="J11" s="190">
        <v>438007.97</v>
      </c>
      <c r="K11" s="190">
        <v>29187.99</v>
      </c>
      <c r="L11" s="190"/>
      <c r="M11" s="190">
        <v>71389.66</v>
      </c>
      <c r="N11" s="192">
        <f t="shared" si="1"/>
        <v>538585.62</v>
      </c>
      <c r="O11" s="195">
        <f t="shared" si="2"/>
        <v>0.1715509968498603</v>
      </c>
    </row>
    <row r="12" spans="2:15" x14ac:dyDescent="0.25">
      <c r="B12" s="188" t="s">
        <v>329</v>
      </c>
      <c r="C12" s="189">
        <v>18</v>
      </c>
      <c r="D12" s="190">
        <v>1438130</v>
      </c>
      <c r="E12" s="190">
        <v>76185.73</v>
      </c>
      <c r="F12" s="190"/>
      <c r="G12" s="190">
        <v>279211.18</v>
      </c>
      <c r="H12" s="194">
        <f t="shared" si="0"/>
        <v>1793526.91</v>
      </c>
      <c r="I12" s="189">
        <v>17</v>
      </c>
      <c r="J12" s="190">
        <v>1402850.32</v>
      </c>
      <c r="K12" s="190">
        <v>74146.7</v>
      </c>
      <c r="L12" s="190"/>
      <c r="M12" s="190">
        <v>273603.31</v>
      </c>
      <c r="N12" s="192">
        <f t="shared" si="1"/>
        <v>1750600.33</v>
      </c>
      <c r="O12" s="195">
        <f t="shared" si="2"/>
        <v>2.4521062440334251E-2</v>
      </c>
    </row>
    <row r="13" spans="2:15" x14ac:dyDescent="0.25">
      <c r="B13" s="188" t="s">
        <v>330</v>
      </c>
      <c r="C13" s="189">
        <v>11</v>
      </c>
      <c r="D13" s="190">
        <v>641850.69209999999</v>
      </c>
      <c r="E13" s="190">
        <v>53225.013750000006</v>
      </c>
      <c r="F13" s="190"/>
      <c r="G13" s="190">
        <v>181396.80000000002</v>
      </c>
      <c r="H13" s="194">
        <f t="shared" si="0"/>
        <v>876472.51</v>
      </c>
      <c r="I13" s="189">
        <v>11</v>
      </c>
      <c r="J13" s="190">
        <v>627515.57999999996</v>
      </c>
      <c r="K13" s="190">
        <v>51800.5</v>
      </c>
      <c r="L13" s="190"/>
      <c r="M13" s="190">
        <v>177840</v>
      </c>
      <c r="N13" s="192">
        <f t="shared" si="1"/>
        <v>857156.08</v>
      </c>
      <c r="O13" s="195">
        <f t="shared" si="2"/>
        <v>2.2535487352548511E-2</v>
      </c>
    </row>
    <row r="14" spans="2:15" x14ac:dyDescent="0.25">
      <c r="B14" s="188" t="s">
        <v>331</v>
      </c>
      <c r="C14" s="189">
        <v>42</v>
      </c>
      <c r="D14" s="190">
        <v>1939562.563575</v>
      </c>
      <c r="E14" s="190">
        <v>181359.31905000002</v>
      </c>
      <c r="F14" s="190"/>
      <c r="G14" s="190">
        <v>583676.85</v>
      </c>
      <c r="H14" s="194">
        <f t="shared" si="0"/>
        <v>2704598.73</v>
      </c>
      <c r="I14" s="189">
        <v>42</v>
      </c>
      <c r="J14" s="190">
        <v>1887652.13</v>
      </c>
      <c r="K14" s="190">
        <v>176505.42</v>
      </c>
      <c r="L14" s="190"/>
      <c r="M14" s="190">
        <v>574560</v>
      </c>
      <c r="N14" s="192">
        <f t="shared" si="1"/>
        <v>2638717.5499999998</v>
      </c>
      <c r="O14" s="195">
        <f t="shared" si="2"/>
        <v>2.4967120865209802E-2</v>
      </c>
    </row>
    <row r="15" spans="2:15" x14ac:dyDescent="0.25">
      <c r="B15" s="188" t="s">
        <v>332</v>
      </c>
      <c r="C15" s="189">
        <v>34</v>
      </c>
      <c r="D15" s="190">
        <v>1834189.85</v>
      </c>
      <c r="E15" s="190">
        <v>150475.66935000001</v>
      </c>
      <c r="F15" s="190"/>
      <c r="G15" s="190">
        <v>428943.42540000001</v>
      </c>
      <c r="H15" s="194">
        <f t="shared" si="0"/>
        <v>2413608.94</v>
      </c>
      <c r="I15" s="189">
        <v>43</v>
      </c>
      <c r="J15" s="190">
        <v>1900351.36</v>
      </c>
      <c r="K15" s="190">
        <f>146448.33</f>
        <v>146448.32999999999</v>
      </c>
      <c r="L15" s="190"/>
      <c r="M15" s="190">
        <v>452542.77</v>
      </c>
      <c r="N15" s="192">
        <f t="shared" si="1"/>
        <v>2499342.46</v>
      </c>
      <c r="O15" s="195">
        <f t="shared" si="2"/>
        <v>-3.4302430087951974E-2</v>
      </c>
    </row>
    <row r="16" spans="2:15" x14ac:dyDescent="0.25">
      <c r="B16" s="188" t="s">
        <v>333</v>
      </c>
      <c r="C16" s="189">
        <v>30</v>
      </c>
      <c r="D16" s="190">
        <v>1078941.4792500001</v>
      </c>
      <c r="E16" s="190">
        <v>151789.86239999998</v>
      </c>
      <c r="F16" s="190"/>
      <c r="G16" s="190">
        <v>353571.5454</v>
      </c>
      <c r="H16" s="194">
        <f t="shared" si="0"/>
        <v>1584302.89</v>
      </c>
      <c r="I16" s="189">
        <v>30</v>
      </c>
      <c r="J16" s="190">
        <v>1050064.7</v>
      </c>
      <c r="K16" s="190">
        <v>147727.35999999999</v>
      </c>
      <c r="L16" s="190"/>
      <c r="M16" s="190">
        <v>346638.77</v>
      </c>
      <c r="N16" s="192">
        <f t="shared" si="1"/>
        <v>1544430.83</v>
      </c>
      <c r="O16" s="195">
        <f t="shared" si="2"/>
        <v>2.5816669303344364E-2</v>
      </c>
    </row>
    <row r="17" spans="2:15" x14ac:dyDescent="0.25">
      <c r="B17" s="188" t="s">
        <v>334</v>
      </c>
      <c r="C17" s="189">
        <v>47</v>
      </c>
      <c r="D17" s="190">
        <v>1557617.9098500002</v>
      </c>
      <c r="E17" s="190">
        <v>218813.96482500003</v>
      </c>
      <c r="F17" s="190"/>
      <c r="G17" s="190">
        <v>526894.64760000003</v>
      </c>
      <c r="H17" s="194">
        <f t="shared" si="0"/>
        <v>2303326.52</v>
      </c>
      <c r="I17" s="189">
        <v>47</v>
      </c>
      <c r="J17" s="190">
        <v>1518522.54</v>
      </c>
      <c r="K17" s="190">
        <v>212957.63</v>
      </c>
      <c r="L17" s="190"/>
      <c r="M17" s="190">
        <v>516563.38</v>
      </c>
      <c r="N17" s="192">
        <f t="shared" si="1"/>
        <v>2248043.5499999998</v>
      </c>
      <c r="O17" s="195">
        <f t="shared" si="2"/>
        <v>2.459159209793782E-2</v>
      </c>
    </row>
    <row r="18" spans="2:15" x14ac:dyDescent="0.25">
      <c r="B18" s="188" t="s">
        <v>335</v>
      </c>
      <c r="C18" s="189">
        <v>71</v>
      </c>
      <c r="D18" s="190">
        <v>1603405.49</v>
      </c>
      <c r="E18" s="190">
        <v>292353.91740000003</v>
      </c>
      <c r="F18" s="190"/>
      <c r="G18" s="190">
        <v>551608.94160000002</v>
      </c>
      <c r="H18" s="194">
        <f t="shared" si="0"/>
        <v>2447368.35</v>
      </c>
      <c r="I18" s="189">
        <v>71</v>
      </c>
      <c r="J18" s="190">
        <v>1561916.78</v>
      </c>
      <c r="K18" s="190">
        <v>284529.36</v>
      </c>
      <c r="L18" s="190"/>
      <c r="M18" s="190">
        <v>540793.07999999996</v>
      </c>
      <c r="N18" s="192">
        <f t="shared" si="1"/>
        <v>2387239.2200000002</v>
      </c>
      <c r="O18" s="195">
        <f t="shared" si="2"/>
        <v>2.5187727101769086E-2</v>
      </c>
    </row>
    <row r="19" spans="2:15" x14ac:dyDescent="0.25">
      <c r="B19" s="188" t="s">
        <v>336</v>
      </c>
      <c r="C19" s="189">
        <v>15</v>
      </c>
      <c r="D19" s="190">
        <v>341672.78970000002</v>
      </c>
      <c r="E19" s="190">
        <v>31560.433125000003</v>
      </c>
      <c r="F19" s="190"/>
      <c r="G19" s="190">
        <v>149182.78665000002</v>
      </c>
      <c r="H19" s="194">
        <f t="shared" si="0"/>
        <v>522416.01</v>
      </c>
      <c r="I19" s="189">
        <v>24</v>
      </c>
      <c r="J19" s="190">
        <v>373523.08</v>
      </c>
      <c r="K19" s="190">
        <v>30715.75</v>
      </c>
      <c r="L19" s="190"/>
      <c r="M19" s="190">
        <v>137079.9</v>
      </c>
      <c r="N19" s="192">
        <f t="shared" si="1"/>
        <v>541318.73</v>
      </c>
      <c r="O19" s="195">
        <f t="shared" si="2"/>
        <v>-3.4919759750415391E-2</v>
      </c>
    </row>
    <row r="20" spans="2:15" x14ac:dyDescent="0.25">
      <c r="B20" s="188" t="s">
        <v>337</v>
      </c>
      <c r="C20" s="189">
        <v>5</v>
      </c>
      <c r="D20" s="190">
        <v>109741.03</v>
      </c>
      <c r="E20" s="190">
        <v>15770.275500000002</v>
      </c>
      <c r="F20" s="190"/>
      <c r="G20" s="190">
        <v>39392.81</v>
      </c>
      <c r="H20" s="194">
        <f t="shared" si="0"/>
        <v>164904.12</v>
      </c>
      <c r="I20" s="189">
        <v>5</v>
      </c>
      <c r="J20" s="190">
        <v>106803.92</v>
      </c>
      <c r="K20" s="190">
        <v>15348.2</v>
      </c>
      <c r="L20" s="190"/>
      <c r="M20" s="190">
        <v>38620.410000000003</v>
      </c>
      <c r="N20" s="192">
        <f t="shared" si="1"/>
        <v>160772.53</v>
      </c>
      <c r="O20" s="195">
        <f t="shared" si="2"/>
        <v>2.5698357797815374E-2</v>
      </c>
    </row>
    <row r="21" spans="2:15" x14ac:dyDescent="0.25">
      <c r="B21" s="196" t="s">
        <v>338</v>
      </c>
      <c r="C21" s="197">
        <f>SUM(C10:C20)</f>
        <v>281</v>
      </c>
      <c r="D21" s="198">
        <f>ROUND(SUM(D10:D20),2)</f>
        <v>11255320.4</v>
      </c>
      <c r="E21" s="198">
        <f>ROUND(SUM(E10:E20),2)</f>
        <v>1201524.8400000001</v>
      </c>
      <c r="F21" s="198">
        <f>SUM(F10:F20)</f>
        <v>0</v>
      </c>
      <c r="G21" s="198">
        <f>ROUND(SUM(G10:G20),2)</f>
        <v>3208922.53</v>
      </c>
      <c r="H21" s="199">
        <f>ROUND(SUM(H10:H20),2)</f>
        <v>15665767.77</v>
      </c>
      <c r="I21" s="200">
        <f t="shared" ref="I21:N21" si="3">SUM(I10:I20)</f>
        <v>298</v>
      </c>
      <c r="J21" s="201">
        <f t="shared" si="3"/>
        <v>11072232.26</v>
      </c>
      <c r="K21" s="201">
        <f t="shared" si="3"/>
        <v>1169367.24</v>
      </c>
      <c r="L21" s="201">
        <f t="shared" si="3"/>
        <v>0</v>
      </c>
      <c r="M21" s="201">
        <f t="shared" si="3"/>
        <v>3156991.2800000003</v>
      </c>
      <c r="N21" s="199">
        <f t="shared" si="3"/>
        <v>15398590.780000001</v>
      </c>
      <c r="O21" s="202">
        <f t="shared" si="2"/>
        <v>1.7350742922983109E-2</v>
      </c>
    </row>
    <row r="22" spans="2:15" ht="15.75" x14ac:dyDescent="0.25">
      <c r="B22" s="203"/>
      <c r="C22" s="204" t="s">
        <v>339</v>
      </c>
      <c r="D22" s="205"/>
      <c r="E22" s="205"/>
      <c r="F22" s="205"/>
      <c r="G22" s="205"/>
      <c r="H22" s="206">
        <v>400000</v>
      </c>
      <c r="I22" s="207" t="s">
        <v>339</v>
      </c>
      <c r="J22" s="205"/>
      <c r="K22" s="208"/>
      <c r="L22" s="209"/>
      <c r="M22" s="209"/>
      <c r="N22" s="206">
        <v>391846.94</v>
      </c>
      <c r="O22" s="210">
        <f>IF(H22=0," ",(H22/N22)-1)</f>
        <v>2.0806746634285389E-2</v>
      </c>
    </row>
    <row r="23" spans="2:15" ht="15.75" x14ac:dyDescent="0.25">
      <c r="B23" s="211"/>
      <c r="C23" s="212"/>
      <c r="D23" s="212"/>
      <c r="E23" s="212"/>
      <c r="F23" s="212"/>
      <c r="G23" s="212"/>
      <c r="H23" s="213"/>
      <c r="I23" s="214"/>
      <c r="J23" s="215"/>
      <c r="K23" s="212"/>
      <c r="L23" s="214"/>
      <c r="M23" s="216"/>
      <c r="N23" s="217"/>
      <c r="O23" s="218"/>
    </row>
    <row r="24" spans="2:15" ht="18.75" thickBot="1" x14ac:dyDescent="0.3">
      <c r="B24" s="219" t="s">
        <v>338</v>
      </c>
      <c r="C24" s="220"/>
      <c r="D24" s="221"/>
      <c r="E24" s="221"/>
      <c r="F24" s="221"/>
      <c r="G24" s="222"/>
      <c r="H24" s="223">
        <f>H21+H22</f>
        <v>16065767.77</v>
      </c>
      <c r="I24" s="224"/>
      <c r="J24" s="225"/>
      <c r="K24" s="225"/>
      <c r="L24" s="225"/>
      <c r="M24" s="226"/>
      <c r="N24" s="223">
        <f>N21+N22</f>
        <v>15790437.720000001</v>
      </c>
      <c r="O24" s="227">
        <f>IF(H24=0," ",(H24/N24)-1)</f>
        <v>1.7436505237044209E-2</v>
      </c>
    </row>
    <row r="26" spans="2:15" x14ac:dyDescent="0.25">
      <c r="B26" s="228" t="s">
        <v>340</v>
      </c>
      <c r="C26" s="228"/>
      <c r="D26" s="228"/>
      <c r="E26" s="228"/>
      <c r="F26" s="228"/>
      <c r="G26" s="228"/>
      <c r="H26" s="228"/>
      <c r="I26" s="228"/>
      <c r="J26" s="228"/>
    </row>
    <row r="27" spans="2:15" x14ac:dyDescent="0.25">
      <c r="B27" t="s">
        <v>341</v>
      </c>
    </row>
  </sheetData>
  <mergeCells count="2">
    <mergeCell ref="D8:H8"/>
    <mergeCell ref="J8:N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18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0C71B2-557C-4D13-B3F9-0027C791E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E8ABD5-4173-4DB0-8004-A8167D572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EA6539-7C1F-4B62-A9C9-4623BA0E3671}">
  <ds:schemaRefs>
    <ds:schemaRef ds:uri="e4b73361-b4d4-4302-9756-11c2890942ab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PyG</vt:lpstr>
      <vt:lpstr>PAIF</vt:lpstr>
      <vt:lpstr>BALANCE</vt:lpstr>
      <vt:lpstr>EFE</vt:lpstr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2025-02-12T11:37:39Z</dcterms:created>
  <dcterms:modified xsi:type="dcterms:W3CDTF">2025-02-12T11:37:46Z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