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p19-web.emv.es/Transparencia/GestionEP/Documents/Presupuestos/"/>
    </mc:Choice>
  </mc:AlternateContent>
  <bookViews>
    <workbookView xWindow="0" yWindow="0" windowWidth="24000" windowHeight="13335" activeTab="1"/>
  </bookViews>
  <sheets>
    <sheet name="BALANCE" sheetId="1" r:id="rId1"/>
    <sheet name="PyG" sheetId="2" r:id="rId2"/>
    <sheet name="EFE" sheetId="3" r:id="rId3"/>
    <sheet name="PAIF" sheetId="4" r:id="rId4"/>
    <sheet name="PERSONAL" sheetId="6" r:id="rId5"/>
  </sheets>
  <externalReferences>
    <externalReference r:id="rId6"/>
    <externalReference r:id="rId7"/>
  </externalReferences>
  <definedNames>
    <definedName name="_xlnm.Print_Area" localSheetId="4">PERSONAL!$A$1:$O$43</definedName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I33" i="4" l="1"/>
  <c r="E64" i="3"/>
  <c r="G63" i="1"/>
  <c r="G48" i="1"/>
  <c r="K36" i="1"/>
  <c r="E43" i="4"/>
  <c r="E70" i="3" l="1"/>
  <c r="E65" i="3" s="1"/>
  <c r="E61" i="3"/>
  <c r="E51" i="3"/>
  <c r="E44" i="3"/>
  <c r="E28" i="3"/>
  <c r="E35" i="3"/>
  <c r="E83" i="3"/>
  <c r="E77" i="3" l="1"/>
  <c r="E41" i="3"/>
  <c r="O40" i="6"/>
  <c r="M39" i="6"/>
  <c r="L39" i="6"/>
  <c r="K39" i="6"/>
  <c r="J39" i="6"/>
  <c r="I39" i="6"/>
  <c r="G39" i="6"/>
  <c r="F39" i="6"/>
  <c r="E39" i="6"/>
  <c r="C39" i="6"/>
  <c r="N38" i="6"/>
  <c r="H38" i="6"/>
  <c r="O38" i="6" s="1"/>
  <c r="N37" i="6"/>
  <c r="H37" i="6"/>
  <c r="O37" i="6" s="1"/>
  <c r="N36" i="6"/>
  <c r="H36" i="6"/>
  <c r="O36" i="6" s="1"/>
  <c r="N35" i="6"/>
  <c r="H35" i="6"/>
  <c r="O35" i="6" s="1"/>
  <c r="N34" i="6"/>
  <c r="H34" i="6"/>
  <c r="O34" i="6" s="1"/>
  <c r="N33" i="6"/>
  <c r="H33" i="6"/>
  <c r="O33" i="6" s="1"/>
  <c r="N32" i="6"/>
  <c r="H32" i="6"/>
  <c r="O32" i="6" s="1"/>
  <c r="N31" i="6"/>
  <c r="H31" i="6"/>
  <c r="O31" i="6" s="1"/>
  <c r="N30" i="6"/>
  <c r="H30" i="6"/>
  <c r="O30" i="6" s="1"/>
  <c r="N29" i="6"/>
  <c r="H29" i="6"/>
  <c r="O29" i="6" s="1"/>
  <c r="N28" i="6"/>
  <c r="H28" i="6"/>
  <c r="O28" i="6" s="1"/>
  <c r="N27" i="6"/>
  <c r="H27" i="6"/>
  <c r="O27" i="6" s="1"/>
  <c r="N26" i="6"/>
  <c r="H26" i="6"/>
  <c r="O26" i="6" s="1"/>
  <c r="N25" i="6"/>
  <c r="H25" i="6"/>
  <c r="O25" i="6" s="1"/>
  <c r="N24" i="6"/>
  <c r="H24" i="6"/>
  <c r="O24" i="6" s="1"/>
  <c r="N23" i="6"/>
  <c r="H23" i="6"/>
  <c r="O23" i="6" s="1"/>
  <c r="N22" i="6"/>
  <c r="H22" i="6"/>
  <c r="O22" i="6" s="1"/>
  <c r="N21" i="6"/>
  <c r="D21" i="6"/>
  <c r="H21" i="6" s="1"/>
  <c r="O21" i="6" s="1"/>
  <c r="N20" i="6"/>
  <c r="D20" i="6"/>
  <c r="H20" i="6" s="1"/>
  <c r="N19" i="6"/>
  <c r="D19" i="6"/>
  <c r="H19" i="6" s="1"/>
  <c r="O19" i="6" s="1"/>
  <c r="N18" i="6"/>
  <c r="D18" i="6"/>
  <c r="H18" i="6" s="1"/>
  <c r="O18" i="6" s="1"/>
  <c r="N17" i="6"/>
  <c r="D17" i="6"/>
  <c r="H17" i="6" s="1"/>
  <c r="O17" i="6" s="1"/>
  <c r="N16" i="6"/>
  <c r="D16" i="6"/>
  <c r="H16" i="6" s="1"/>
  <c r="N15" i="6"/>
  <c r="D15" i="6"/>
  <c r="H15" i="6" s="1"/>
  <c r="O15" i="6" s="1"/>
  <c r="N14" i="6"/>
  <c r="D14" i="6"/>
  <c r="H14" i="6" s="1"/>
  <c r="O14" i="6" s="1"/>
  <c r="N13" i="6"/>
  <c r="D13" i="6"/>
  <c r="H13" i="6" s="1"/>
  <c r="O13" i="6" s="1"/>
  <c r="N12" i="6"/>
  <c r="D12" i="6"/>
  <c r="H12" i="6" s="1"/>
  <c r="N11" i="6"/>
  <c r="D11" i="6"/>
  <c r="H11" i="6" s="1"/>
  <c r="O11" i="6" s="1"/>
  <c r="N10" i="6"/>
  <c r="D10" i="6"/>
  <c r="N9" i="6"/>
  <c r="H9" i="6"/>
  <c r="O9" i="6" s="1"/>
  <c r="D39" i="6" l="1"/>
  <c r="O12" i="6"/>
  <c r="O16" i="6"/>
  <c r="O20" i="6"/>
  <c r="E81" i="3"/>
  <c r="E87" i="3" s="1"/>
  <c r="N39" i="6"/>
  <c r="N42" i="6" s="1"/>
  <c r="H10" i="6"/>
  <c r="O10" i="6" l="1"/>
  <c r="H39" i="6"/>
  <c r="O39" i="6" l="1"/>
  <c r="H42" i="6"/>
  <c r="O42" i="6" l="1"/>
  <c r="I12" i="4" l="1"/>
  <c r="H12" i="4"/>
  <c r="I11" i="4"/>
  <c r="H11" i="4"/>
  <c r="G11" i="4"/>
  <c r="E12" i="4"/>
  <c r="E11" i="4"/>
  <c r="D12" i="4"/>
  <c r="D11" i="4"/>
  <c r="C12" i="4"/>
  <c r="C11" i="4"/>
  <c r="E47" i="4"/>
  <c r="D47" i="4"/>
  <c r="C47" i="4"/>
  <c r="E42" i="4"/>
  <c r="D42" i="4"/>
  <c r="I42" i="4"/>
  <c r="H42" i="4"/>
  <c r="G42" i="4"/>
  <c r="C42" i="4"/>
  <c r="I37" i="4"/>
  <c r="H37" i="4"/>
  <c r="G37" i="4"/>
  <c r="I32" i="4"/>
  <c r="H32" i="4"/>
  <c r="G32" i="4"/>
  <c r="E29" i="4"/>
  <c r="D29" i="4"/>
  <c r="C29" i="4"/>
  <c r="I28" i="4"/>
  <c r="H28" i="4"/>
  <c r="G28" i="4"/>
  <c r="E26" i="4"/>
  <c r="D26" i="4"/>
  <c r="C26" i="4"/>
  <c r="E20" i="4"/>
  <c r="D20" i="4"/>
  <c r="C20" i="4"/>
  <c r="I14" i="4"/>
  <c r="H14" i="4"/>
  <c r="E15" i="4"/>
  <c r="D15" i="4"/>
  <c r="C15" i="4"/>
  <c r="E12" i="3"/>
  <c r="E11" i="3"/>
  <c r="D12" i="3"/>
  <c r="D11" i="3"/>
  <c r="F16" i="3" s="1"/>
  <c r="C12" i="3"/>
  <c r="C11" i="3"/>
  <c r="I82" i="3"/>
  <c r="I74" i="3"/>
  <c r="H74" i="3"/>
  <c r="I70" i="3"/>
  <c r="H70" i="3"/>
  <c r="H65" i="3" s="1"/>
  <c r="I66" i="3"/>
  <c r="H66" i="3"/>
  <c r="I64" i="3"/>
  <c r="H64" i="3"/>
  <c r="H61" i="3" s="1"/>
  <c r="I61" i="3"/>
  <c r="F60" i="3"/>
  <c r="I51" i="3"/>
  <c r="H51" i="3"/>
  <c r="H58" i="3" s="1"/>
  <c r="I44" i="3"/>
  <c r="H44" i="3"/>
  <c r="I35" i="3"/>
  <c r="H35" i="3"/>
  <c r="I28" i="3"/>
  <c r="H28" i="3"/>
  <c r="G26" i="3"/>
  <c r="G43" i="3" s="1"/>
  <c r="G60" i="3" s="1"/>
  <c r="I16" i="3"/>
  <c r="H16" i="3"/>
  <c r="F27" i="3"/>
  <c r="E74" i="2"/>
  <c r="E70" i="2"/>
  <c r="E97" i="2" s="1"/>
  <c r="E66" i="2"/>
  <c r="E62" i="2"/>
  <c r="E59" i="2"/>
  <c r="E54" i="2"/>
  <c r="E51" i="2"/>
  <c r="E45" i="2"/>
  <c r="E40" i="2"/>
  <c r="E36" i="2"/>
  <c r="E32" i="2"/>
  <c r="E27" i="2"/>
  <c r="E20" i="2"/>
  <c r="E15" i="2"/>
  <c r="E14" i="2" s="1"/>
  <c r="D74" i="2"/>
  <c r="D70" i="2"/>
  <c r="D97" i="2" s="1"/>
  <c r="D66" i="2"/>
  <c r="D62" i="2"/>
  <c r="D59" i="2"/>
  <c r="D54" i="2"/>
  <c r="D51" i="2"/>
  <c r="D45" i="2"/>
  <c r="D40" i="2"/>
  <c r="D36" i="2"/>
  <c r="D32" i="2"/>
  <c r="D27" i="2"/>
  <c r="D21" i="2"/>
  <c r="D20" i="2" s="1"/>
  <c r="D15" i="2"/>
  <c r="D14" i="2" s="1"/>
  <c r="E11" i="2"/>
  <c r="E10" i="2"/>
  <c r="E87" i="2" s="1"/>
  <c r="D11" i="2"/>
  <c r="D10" i="2"/>
  <c r="D87" i="2" s="1"/>
  <c r="E112" i="2"/>
  <c r="D112" i="2"/>
  <c r="C112" i="2"/>
  <c r="E111" i="2"/>
  <c r="D111" i="2"/>
  <c r="C111" i="2"/>
  <c r="E110" i="2"/>
  <c r="D110" i="2"/>
  <c r="C110" i="2"/>
  <c r="E109" i="2"/>
  <c r="D109" i="2"/>
  <c r="C109" i="2"/>
  <c r="E108" i="2"/>
  <c r="E107" i="2"/>
  <c r="D107" i="2"/>
  <c r="C107" i="2"/>
  <c r="E106" i="2"/>
  <c r="D106" i="2"/>
  <c r="C106" i="2"/>
  <c r="E105" i="2"/>
  <c r="C105" i="2"/>
  <c r="E101" i="2"/>
  <c r="D101" i="2"/>
  <c r="C101" i="2"/>
  <c r="E100" i="2"/>
  <c r="D100" i="2"/>
  <c r="C100" i="2"/>
  <c r="E99" i="2"/>
  <c r="D99" i="2"/>
  <c r="C99" i="2"/>
  <c r="E98" i="2"/>
  <c r="D98" i="2"/>
  <c r="C98" i="2"/>
  <c r="E96" i="2"/>
  <c r="D96" i="2"/>
  <c r="C96" i="2"/>
  <c r="E95" i="2"/>
  <c r="D95" i="2"/>
  <c r="C95" i="2"/>
  <c r="E94" i="2"/>
  <c r="D94" i="2"/>
  <c r="C94" i="2"/>
  <c r="E88" i="2"/>
  <c r="C87" i="2"/>
  <c r="C74" i="2"/>
  <c r="C70" i="2"/>
  <c r="C108" i="2" s="1"/>
  <c r="C66" i="2"/>
  <c r="C62" i="2"/>
  <c r="C59" i="2"/>
  <c r="C58" i="2"/>
  <c r="C54" i="2"/>
  <c r="C51" i="2"/>
  <c r="C45" i="2"/>
  <c r="C40" i="2"/>
  <c r="C36" i="2"/>
  <c r="C32" i="2"/>
  <c r="C27" i="2"/>
  <c r="D105" i="2"/>
  <c r="C20" i="2"/>
  <c r="C15" i="2"/>
  <c r="D88" i="2"/>
  <c r="C88" i="2"/>
  <c r="B87" i="2"/>
  <c r="K64" i="1"/>
  <c r="K58" i="1"/>
  <c r="K46" i="1"/>
  <c r="K41" i="1"/>
  <c r="K35" i="1"/>
  <c r="K30" i="1"/>
  <c r="K23" i="1"/>
  <c r="K20" i="1"/>
  <c r="K16" i="1"/>
  <c r="K15" i="1" s="1"/>
  <c r="G62" i="1"/>
  <c r="G54" i="1"/>
  <c r="G46" i="1"/>
  <c r="G39" i="1"/>
  <c r="G37" i="1" s="1"/>
  <c r="G28" i="1"/>
  <c r="G25" i="1"/>
  <c r="G21" i="1"/>
  <c r="G15" i="1"/>
  <c r="F62" i="1"/>
  <c r="F54" i="1"/>
  <c r="F46" i="1"/>
  <c r="F39" i="1"/>
  <c r="F37" i="1"/>
  <c r="F28" i="1"/>
  <c r="F25" i="1"/>
  <c r="F21" i="1"/>
  <c r="F15" i="1"/>
  <c r="J64" i="1"/>
  <c r="J58" i="1"/>
  <c r="J55" i="1"/>
  <c r="J46" i="1"/>
  <c r="J41" i="1"/>
  <c r="J40" i="1" s="1"/>
  <c r="J35" i="1"/>
  <c r="J30" i="1"/>
  <c r="J23" i="1"/>
  <c r="J20" i="1"/>
  <c r="J16" i="1"/>
  <c r="J15" i="1" s="1"/>
  <c r="I64" i="1"/>
  <c r="E62" i="1"/>
  <c r="I58" i="1"/>
  <c r="I55" i="1" s="1"/>
  <c r="E54" i="1"/>
  <c r="I46" i="1"/>
  <c r="E46" i="1"/>
  <c r="L45" i="1"/>
  <c r="C42" i="1"/>
  <c r="B42" i="1"/>
  <c r="I41" i="1"/>
  <c r="E39" i="1"/>
  <c r="I35" i="1"/>
  <c r="I30" i="1"/>
  <c r="E28" i="1"/>
  <c r="E25" i="1"/>
  <c r="I23" i="1"/>
  <c r="M21" i="1"/>
  <c r="E21" i="1"/>
  <c r="I20" i="1"/>
  <c r="I16" i="1"/>
  <c r="L21" i="1"/>
  <c r="E15" i="1"/>
  <c r="B14" i="1"/>
  <c r="L12" i="1"/>
  <c r="I12" i="1"/>
  <c r="G12" i="4" s="1"/>
  <c r="D108" i="2" l="1"/>
  <c r="E57" i="2"/>
  <c r="H77" i="3"/>
  <c r="C77" i="2"/>
  <c r="I58" i="3"/>
  <c r="F14" i="1"/>
  <c r="F74" i="1" s="1"/>
  <c r="K55" i="1"/>
  <c r="G14" i="1"/>
  <c r="G74" i="1" s="1"/>
  <c r="C14" i="4"/>
  <c r="C51" i="4" s="1"/>
  <c r="D58" i="2"/>
  <c r="D77" i="2" s="1"/>
  <c r="C14" i="2"/>
  <c r="C97" i="2"/>
  <c r="C113" i="2"/>
  <c r="C91" i="2" s="1"/>
  <c r="C102" i="2"/>
  <c r="C90" i="2" s="1"/>
  <c r="C89" i="2" s="1"/>
  <c r="E58" i="2"/>
  <c r="E77" i="2" s="1"/>
  <c r="E78" i="2" s="1"/>
  <c r="E80" i="2" s="1"/>
  <c r="E85" i="2" s="1"/>
  <c r="K40" i="1"/>
  <c r="K14" i="1"/>
  <c r="G14" i="4"/>
  <c r="G51" i="4" s="1"/>
  <c r="C53" i="4" s="1"/>
  <c r="I51" i="4"/>
  <c r="D14" i="4"/>
  <c r="D51" i="4" s="1"/>
  <c r="E14" i="4"/>
  <c r="E51" i="4" s="1"/>
  <c r="H51" i="4"/>
  <c r="H41" i="3"/>
  <c r="H81" i="3" s="1"/>
  <c r="I65" i="3"/>
  <c r="I77" i="3" s="1"/>
  <c r="I41" i="3"/>
  <c r="F61" i="3"/>
  <c r="F28" i="3"/>
  <c r="F44" i="3"/>
  <c r="F20" i="3"/>
  <c r="G28" i="3"/>
  <c r="I85" i="3"/>
  <c r="F17" i="3"/>
  <c r="H85" i="3"/>
  <c r="J14" i="1"/>
  <c r="J74" i="1" s="1"/>
  <c r="E102" i="2"/>
  <c r="E113" i="2"/>
  <c r="E91" i="2" s="1"/>
  <c r="D57" i="2"/>
  <c r="D78" i="2" s="1"/>
  <c r="D80" i="2" s="1"/>
  <c r="D85" i="2" s="1"/>
  <c r="D113" i="2"/>
  <c r="D91" i="2" s="1"/>
  <c r="D102" i="2"/>
  <c r="D90" i="2" s="1"/>
  <c r="C57" i="2"/>
  <c r="C78" i="2" s="1"/>
  <c r="C80" i="2" s="1"/>
  <c r="C85" i="2" s="1"/>
  <c r="C19" i="1"/>
  <c r="E14" i="1"/>
  <c r="I40" i="1"/>
  <c r="E37" i="1"/>
  <c r="I15" i="1"/>
  <c r="I14" i="1" s="1"/>
  <c r="I74" i="1" s="1"/>
  <c r="E90" i="2" l="1"/>
  <c r="E89" i="2" s="1"/>
  <c r="E74" i="1"/>
  <c r="I81" i="3"/>
  <c r="G53" i="4"/>
  <c r="I53" i="4"/>
  <c r="E53" i="4"/>
  <c r="D53" i="4"/>
  <c r="H53" i="4"/>
  <c r="D89" i="2"/>
  <c r="C18" i="1"/>
  <c r="C17" i="1" s="1"/>
  <c r="K74" i="1"/>
</calcChain>
</file>

<file path=xl/comments1.xml><?xml version="1.0" encoding="utf-8"?>
<comments xmlns="http://schemas.openxmlformats.org/spreadsheetml/2006/main">
  <authors>
    <author>JVR018</author>
  </authors>
  <commentList>
    <comment ref="L11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L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G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41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 B38 con B39 y por otro lado C38 con C39</t>
        </r>
      </text>
    </comment>
  </commentList>
</comments>
</file>

<file path=xl/comments2.xml><?xml version="1.0" encoding="utf-8"?>
<comments xmlns="http://schemas.openxmlformats.org/spreadsheetml/2006/main">
  <authors>
    <author>Carmen Carcele Sanchez</author>
  </authors>
  <commentList>
    <comment ref="D43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solo se ha puesto dotación de clientes y perdidas de clientes por 3.088.621,16€. El deterioro de pleitos se ha neteado con el exceso de pleitos en el punto 11, fila 49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DEUDA SUSANA</t>
        </r>
      </text>
    </comment>
  </commentList>
</comments>
</file>

<file path=xl/comments3.xml><?xml version="1.0" encoding="utf-8"?>
<comments xmlns="http://schemas.openxmlformats.org/spreadsheetml/2006/main">
  <authors>
    <author>Carmen Carcele Sanchez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AJUSTADO POR JULIO HERNANZ EL 19 DE JULIO 2016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CONSTRUCCIONES EN CURSO + SUBVENCIÓN IVA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CONSTRUCCIONES EN CURSO + SUBVENCIÓN IVA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AMPLIACIÓN DE CAPITAL POR ARROYO DEL FRESNO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AMPLIACIÓN DE CAPITAL POR ARROYO DEL FRESNO</t>
        </r>
      </text>
    </comment>
  </commentList>
</comments>
</file>

<file path=xl/sharedStrings.xml><?xml version="1.0" encoding="utf-8"?>
<sst xmlns="http://schemas.openxmlformats.org/spreadsheetml/2006/main" count="425" uniqueCount="362">
  <si>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</si>
  <si>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</si>
  <si>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</si>
  <si>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</si>
  <si>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</si>
  <si>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</si>
  <si>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PATRIMONIO NETO Y PASIVO</t>
  </si>
  <si>
    <t>PREV.CIERRE</t>
  </si>
  <si>
    <t>CIERRE 2017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</si>
  <si>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</si>
  <si>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</si>
  <si>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</si>
  <si>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</si>
  <si>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</si>
  <si>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</si>
  <si>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</si>
  <si>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</si>
  <si>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</si>
  <si>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</si>
  <si>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</si>
  <si>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</si>
  <si>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</si>
  <si>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</si>
  <si>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</si>
  <si>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</si>
  <si>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</si>
  <si>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</si>
  <si>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</si>
  <si>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</si>
  <si>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</si>
  <si>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</si>
  <si>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</si>
  <si>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</si>
  <si>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</si>
  <si>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</si>
  <si>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</si>
  <si>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</si>
  <si>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</si>
  <si>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</si>
  <si>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</si>
  <si>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</si>
  <si>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</si>
  <si>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</si>
  <si>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</si>
  <si>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</si>
  <si>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</si>
  <si>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</si>
  <si>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</si>
  <si>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</si>
  <si>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</si>
  <si>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</si>
  <si>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</si>
  <si>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</si>
  <si>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</si>
  <si>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</si>
  <si>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</si>
  <si>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</si>
  <si>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</si>
  <si>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</si>
  <si>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</si>
  <si>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</si>
  <si>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</si>
  <si>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SEGÚN BALANCE</t>
  </si>
  <si>
    <t xml:space="preserve">               3. Productos en curso</t>
  </si>
  <si>
    <t xml:space="preserve">          1. Obligaciones por prestaciones a LP al personal</t>
  </si>
  <si>
    <t>SEGÚN 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</si>
  <si>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</si>
  <si>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</si>
  <si>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</si>
  <si>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</si>
  <si>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</si>
  <si>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</si>
  <si>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</si>
  <si>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</si>
  <si>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</si>
  <si>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</si>
  <si>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</si>
  <si>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</si>
  <si>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</si>
  <si>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</si>
  <si>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</si>
  <si>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</si>
  <si>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</si>
  <si>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</si>
  <si>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</si>
  <si>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</si>
  <si>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</si>
  <si>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</si>
  <si>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</si>
  <si>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</si>
  <si>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</si>
  <si>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</si>
  <si>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</si>
  <si>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</si>
  <si>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</si>
  <si>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</si>
  <si>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</si>
  <si>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</si>
  <si>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</si>
  <si>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</si>
  <si>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</si>
  <si>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</si>
  <si>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</si>
  <si>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</si>
  <si>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</si>
  <si>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</si>
  <si>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</si>
  <si>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</si>
  <si>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</si>
  <si>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</si>
  <si>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</si>
  <si>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</si>
  <si>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</si>
  <si>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</si>
  <si>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</si>
  <si>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</si>
  <si>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</si>
  <si>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</si>
  <si>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</si>
  <si>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</si>
  <si>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</si>
  <si>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</si>
  <si>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</si>
  <si>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</si>
  <si>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</si>
  <si>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</si>
  <si>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</si>
  <si>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</si>
  <si>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</si>
  <si>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</si>
  <si>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</si>
  <si>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</si>
  <si>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</si>
  <si>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</si>
  <si>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</si>
  <si>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</si>
  <si>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</si>
  <si>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</si>
  <si>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</si>
  <si>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</si>
  <si>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</si>
  <si>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</si>
  <si>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</si>
  <si>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</si>
  <si>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</si>
  <si>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</si>
  <si>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</si>
  <si>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</si>
  <si>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</si>
  <si>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</si>
  <si>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</si>
  <si>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</si>
  <si>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</si>
  <si>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</si>
  <si>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</si>
  <si>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</si>
  <si>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</si>
  <si>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</si>
  <si>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</si>
  <si>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</si>
  <si>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</si>
  <si>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</si>
  <si>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</si>
  <si>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</si>
  <si>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</si>
  <si>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</si>
  <si>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</si>
  <si>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</si>
  <si>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</si>
  <si>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</si>
  <si>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</si>
  <si>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</si>
  <si>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</si>
  <si>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</si>
  <si>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</si>
  <si>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</si>
  <si>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</si>
  <si>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</si>
  <si>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</si>
  <si>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</si>
  <si>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</si>
  <si>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</si>
  <si>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</si>
  <si>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</si>
  <si>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</si>
  <si>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</si>
  <si>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</si>
  <si>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</si>
  <si>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</si>
  <si>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</si>
  <si>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</si>
  <si>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</si>
  <si>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</si>
  <si>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</si>
  <si>
    <t>PREVISIÓN</t>
  </si>
  <si>
    <t>cierre a septiembre</t>
  </si>
  <si>
    <t>CIERRE AJUSTE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</si>
  <si>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</si>
  <si>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</si>
  <si>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</si>
  <si>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</si>
  <si>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</si>
  <si>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</si>
  <si>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</si>
  <si>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</si>
  <si>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</si>
  <si>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</si>
  <si>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</si>
  <si>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</si>
  <si>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</si>
  <si>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</si>
  <si>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</si>
  <si>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</si>
  <si>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</si>
  <si>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</si>
  <si>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</si>
  <si>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</si>
  <si>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</si>
  <si>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</si>
  <si>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</si>
  <si>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</si>
  <si>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</si>
  <si>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d) Pagos o cobros por impuesto sobre beneficios</t>
  </si>
  <si>
    <t xml:space="preserve">       e) Otros pagos o cobros</t>
  </si>
  <si>
    <t xml:space="preserve">   5. Flujos de efectivo de las actividades de explotación (1+2+3+4)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</si>
  <si>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</si>
  <si>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</si>
  <si>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</si>
  <si>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</si>
  <si>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</si>
  <si>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</si>
  <si>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</si>
  <si>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</si>
  <si>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 7. Cobros por desinversiones</t>
  </si>
  <si>
    <t xml:space="preserve">  8. Flujos de efectivo de las actividades de inversión (6+7)</t>
  </si>
  <si>
    <t>C) FLUJOS DE EFECTIVO DE LAS ACTIV. DE FINANCIACION</t>
  </si>
  <si>
    <t xml:space="preserve">   9.Cobros y pagos por instrumentros de patrimonio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</si>
  <si>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</si>
  <si>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</si>
  <si>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</si>
  <si>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</si>
  <si>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</si>
  <si>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     1. Deudas con entidades de crédito</t>
  </si>
  <si>
    <t xml:space="preserve">            2. Deudas con el Ayuntamiento, OOAA y Empr. Municipales</t>
  </si>
  <si>
    <t xml:space="preserve">            3. Otras deudas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</si>
  <si>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</si>
  <si>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</si>
  <si>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</si>
  <si>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</si>
  <si>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</si>
  <si>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</si>
  <si>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</si>
  <si>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>Efectivo o equvalentes al comienzo del ejercicio</t>
  </si>
  <si>
    <t>Efectivo o equvalentes al final del ejercicio</t>
  </si>
  <si>
    <t>PRESUPUESTO DE CAPITAL. PROGRAMA ANUAL DE ACTUACIONES, INVERSIONES Y FINANCIACIÓN (PAIF)</t>
  </si>
  <si>
    <t>APLICACIÓN DE FONDOS</t>
  </si>
  <si>
    <t>ORIGEN DE FONDOS</t>
  </si>
  <si>
    <t>1.ADQUISICIONES DE INMOVILIZADO</t>
  </si>
  <si>
    <t>1.AUTOFINANCIACIÓN</t>
  </si>
  <si>
    <t xml:space="preserve">    1.1.Inmovilizado intangible</t>
  </si>
  <si>
    <t xml:space="preserve">   1.1.Resultados del ejercicio</t>
  </si>
  <si>
    <t xml:space="preserve">          1.1.a).Gastos de Investigación y desarrollo</t>
  </si>
  <si>
    <t xml:space="preserve">   1.2.Amortización del inmovilizado</t>
  </si>
  <si>
    <t xml:space="preserve">          1.1.b).Propiedad Industrial</t>
  </si>
  <si>
    <t xml:space="preserve">   1.3.Correcciones valorativas por deterioro</t>
  </si>
  <si>
    <t xml:space="preserve">          1.1.c).Aplicaciones informáticas</t>
  </si>
  <si>
    <t xml:space="preserve">   1.4. Variación de provisiones</t>
  </si>
  <si>
    <t xml:space="preserve">          1.1.d).Otro inmovilizado inmaterial</t>
  </si>
  <si>
    <t xml:space="preserve">   1.5.Imputación de subvenciones</t>
  </si>
  <si>
    <t xml:space="preserve">    1.2.Inmovilizado material</t>
  </si>
  <si>
    <t xml:space="preserve">   1.6.Resultados por bajas y enajenaciones del inmovilizado</t>
  </si>
  <si>
    <t xml:space="preserve">          2.2.a).Terrenos y construcciones</t>
  </si>
  <si>
    <t xml:space="preserve">   1.7.Resultados por bajas y enajenaciones de instrumentos financieros</t>
  </si>
  <si>
    <t xml:space="preserve">          2.2.b).Instalaciones técnicas y maquinaria</t>
  </si>
  <si>
    <t xml:space="preserve">   1.8.Diferencias de cambio</t>
  </si>
  <si>
    <t xml:space="preserve">          2.2.c).Otras instalaciones,utillaje y mobiliario</t>
  </si>
  <si>
    <t xml:space="preserve">   1.9.Variación de valor razonable en instrumentos financieros</t>
  </si>
  <si>
    <t xml:space="preserve">          2.2.d).Anticipos e inmovilizado en curso</t>
  </si>
  <si>
    <t xml:space="preserve">   1.10.Variación de existencias</t>
  </si>
  <si>
    <t xml:space="preserve">          2.2.e).Otro inmovilizado material</t>
  </si>
  <si>
    <t xml:space="preserve">   1.11.Ajuste por impuesto sobre beneficios</t>
  </si>
  <si>
    <t xml:space="preserve">    1.3.Inversiones inmobiliarias</t>
  </si>
  <si>
    <t xml:space="preserve">   1.12.Otros ingresos y gastos</t>
  </si>
  <si>
    <t xml:space="preserve">          1.3.a).Terrenos</t>
  </si>
  <si>
    <t xml:space="preserve">          1.3.b).Construcciones</t>
  </si>
  <si>
    <t>2.APORTACIONES DE CAPITAL</t>
  </si>
  <si>
    <t xml:space="preserve">    1.4.Inversiones financieras.</t>
  </si>
  <si>
    <t xml:space="preserve">    2.1. Del Ayuntamiento de Madrid</t>
  </si>
  <si>
    <t xml:space="preserve">          1.4.a). Instrumentos de patrimonio</t>
  </si>
  <si>
    <t xml:space="preserve">    2.2. De otros accionistas</t>
  </si>
  <si>
    <t xml:space="preserve">          1.4.b). Créditos a terceros</t>
  </si>
  <si>
    <t xml:space="preserve">          1.4.c). Valores representativos de deuda</t>
  </si>
  <si>
    <t>3.SUBVENCIONES DE CAPITAL</t>
  </si>
  <si>
    <t xml:space="preserve">          1.4.d). Derivados</t>
  </si>
  <si>
    <t xml:space="preserve">    3.1.Del Ayuntamiento</t>
  </si>
  <si>
    <t xml:space="preserve">          1.4.e). Inv.financ. en Empresas Municipales, OOAA y Ayto</t>
  </si>
  <si>
    <t xml:space="preserve">    3.2.De otros</t>
  </si>
  <si>
    <t xml:space="preserve">          1.4.f). Otros activos financieros</t>
  </si>
  <si>
    <t xml:space="preserve">    3.3.Adscripción de bienes</t>
  </si>
  <si>
    <t>4.FINANCIACIÓN AJENA A LARGO PLAZO</t>
  </si>
  <si>
    <t>2.REDUCCIÓN DE CAPITAL</t>
  </si>
  <si>
    <t xml:space="preserve">    4.1.Deudas con entidades de crédito</t>
  </si>
  <si>
    <t xml:space="preserve">    4.2.Deuda con el Ayuntamiento, OOAA y Empr.Municipales</t>
  </si>
  <si>
    <t>3.DIVIDENDOS</t>
  </si>
  <si>
    <t xml:space="preserve">    4.3.Otras deudas a l.pl.</t>
  </si>
  <si>
    <t>4.AMORTIZACIÓN DE DEUDA</t>
  </si>
  <si>
    <t>5.ENAJENACIÓN DE INMOVILIZADO</t>
  </si>
  <si>
    <t xml:space="preserve">    5.1.Inmovilizado intangible</t>
  </si>
  <si>
    <t xml:space="preserve">    4.2.Deuda con el Ayuntamiento, OOAA y Empr..Municipales</t>
  </si>
  <si>
    <t xml:space="preserve">    5.2.Inmovilizado material</t>
  </si>
  <si>
    <t xml:space="preserve">    4.3.Otras deudas</t>
  </si>
  <si>
    <t xml:space="preserve">    5.3. Inversiones inmobiliarias</t>
  </si>
  <si>
    <t xml:space="preserve">    5.4. Inversiones financieras</t>
  </si>
  <si>
    <t>5.APLICACION PROVISION (PAGOS)</t>
  </si>
  <si>
    <t xml:space="preserve">    5.5. Activos no corrientes matenidos para venta (no financieros)</t>
  </si>
  <si>
    <t xml:space="preserve">     5.1 Aplicaciones (pagos) provisiones de personal</t>
  </si>
  <si>
    <t xml:space="preserve">    5.6. Activos no corrientes matenidos para venta (financieros)</t>
  </si>
  <si>
    <t xml:space="preserve">     5.2 Aplicaciones (pagos) resto de provisiones</t>
  </si>
  <si>
    <t>TOTAL APLICACIONES</t>
  </si>
  <si>
    <t>TOTAL ORÍGENES</t>
  </si>
  <si>
    <t>EXCESO DE ORÍGENES</t>
  </si>
  <si>
    <t>EXCESO DE APLICACIONES</t>
  </si>
  <si>
    <t>PERSONAL AL SERVICIO DE LA EMPRESA</t>
  </si>
  <si>
    <t>E - P18 - 05</t>
  </si>
  <si>
    <t>PERSONAL (A)</t>
  </si>
  <si>
    <t>Nº TOTAL(B)</t>
  </si>
  <si>
    <t>COSTE PRESUPUESTO AÑO 2018</t>
  </si>
  <si>
    <t>COSTE REAL AÑO 2017</t>
  </si>
  <si>
    <t>(1)/(2)</t>
  </si>
  <si>
    <t>(Clasificado por categorías profesionales)</t>
  </si>
  <si>
    <t>PREV. 2018</t>
  </si>
  <si>
    <t>REMUN. INTEGRAS(C)</t>
  </si>
  <si>
    <t>ANTIGÜEDAD</t>
  </si>
  <si>
    <t>HORAS EXT.</t>
  </si>
  <si>
    <t>SEG. SOCIAL</t>
  </si>
  <si>
    <t>TOTAL COSTE(1)</t>
  </si>
  <si>
    <t>REAL 2017</t>
  </si>
  <si>
    <t>TOTAL COSTE(2)</t>
  </si>
  <si>
    <t>%</t>
  </si>
  <si>
    <t>CONSEJERO DELEGADO Y GERENTE</t>
  </si>
  <si>
    <t>GRUPO 0 NIVEL 1</t>
  </si>
  <si>
    <t>GRUPO 0 NIVEL 1.1</t>
  </si>
  <si>
    <t>GRUPO 1 NIVEL 2</t>
  </si>
  <si>
    <t>GRUPO 1 NIVEL 3</t>
  </si>
  <si>
    <t>GRUPO 1 NIVEL 4</t>
  </si>
  <si>
    <t>GRUPO 1 NIVEL 5</t>
  </si>
  <si>
    <t>GRUPO 2 NIVEL 6</t>
  </si>
  <si>
    <t>GRUPO 2 NIVEL 7.1</t>
  </si>
  <si>
    <t>GRUPO 2 NIVEL 7</t>
  </si>
  <si>
    <t>GRUPO 2 NIVEL 8</t>
  </si>
  <si>
    <t>GRUPO 3 NIVEL 9</t>
  </si>
  <si>
    <t>Coste de complementos de pensiones y otras cargas sociales:</t>
  </si>
  <si>
    <t>SECCIÓN: 027</t>
  </si>
  <si>
    <t>CENTRO: 701</t>
  </si>
  <si>
    <t>PRESUPUESTO 2018</t>
  </si>
  <si>
    <t>CENTRO:701</t>
  </si>
  <si>
    <t>SECCION: 027</t>
  </si>
  <si>
    <t>ESTADO DE FLUJOS DE EFECTIVO</t>
  </si>
  <si>
    <t>E - P18 - 01</t>
  </si>
  <si>
    <t>E - P18 - 02</t>
  </si>
  <si>
    <t>E - P18 - 03</t>
  </si>
  <si>
    <t>E - P18 - 04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</si>
</sst>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  <font>
      <b/>
      <sz val="13"/>
      <name val="Arial"/>
      <family val="2"/>
    </font>
    <font>
      <sz val="8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 applyFill="0"/>
  </cellStyleXfs>
  <cellXfs count="382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8" fillId="2" borderId="5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vertical="center"/>
      <protection locked="0"/>
    </xf>
    <xf numFmtId="3" fontId="1" fillId="3" borderId="0" xfId="0" applyNumberFormat="1" applyFont="1" applyFill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3" fontId="1" fillId="0" borderId="12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4" fontId="1" fillId="4" borderId="12" xfId="0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</xf>
    <xf numFmtId="3" fontId="1" fillId="3" borderId="0" xfId="0" applyNumberFormat="1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vertical="center"/>
    </xf>
    <xf numFmtId="4" fontId="1" fillId="0" borderId="13" xfId="0" applyNumberFormat="1" applyFont="1" applyFill="1" applyBorder="1" applyAlignment="1" applyProtection="1">
      <alignment vertical="center"/>
    </xf>
    <xf numFmtId="3" fontId="9" fillId="3" borderId="0" xfId="0" applyNumberFormat="1" applyFont="1" applyFill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</xf>
    <xf numFmtId="3" fontId="10" fillId="0" borderId="11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3" fontId="1" fillId="5" borderId="0" xfId="0" applyNumberFormat="1" applyFont="1" applyFill="1" applyBorder="1" applyAlignment="1" applyProtection="1">
      <alignment vertical="center"/>
    </xf>
    <xf numFmtId="3" fontId="1" fillId="5" borderId="0" xfId="0" applyNumberFormat="1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3" fontId="12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4" fontId="1" fillId="0" borderId="14" xfId="0" applyNumberFormat="1" applyFont="1" applyFill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4" fontId="1" fillId="0" borderId="17" xfId="0" applyNumberFormat="1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7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2" fillId="2" borderId="28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  <protection locked="0"/>
    </xf>
    <xf numFmtId="4" fontId="0" fillId="0" borderId="0" xfId="0" applyNumberForma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17" fillId="0" borderId="11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4" fontId="1" fillId="0" borderId="29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4" fontId="1" fillId="7" borderId="13" xfId="0" applyNumberFormat="1" applyFont="1" applyFill="1" applyBorder="1" applyAlignment="1" applyProtection="1">
      <alignment vertical="center"/>
      <protection locked="0"/>
    </xf>
    <xf numFmtId="4" fontId="1" fillId="4" borderId="29" xfId="0" applyNumberFormat="1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</xf>
    <xf numFmtId="4" fontId="7" fillId="0" borderId="31" xfId="0" applyNumberFormat="1" applyFont="1" applyFill="1" applyBorder="1" applyAlignment="1" applyProtection="1">
      <alignment vertical="center"/>
    </xf>
    <xf numFmtId="4" fontId="7" fillId="0" borderId="32" xfId="0" applyNumberFormat="1" applyFont="1" applyFill="1" applyBorder="1" applyAlignment="1" applyProtection="1">
      <alignment vertical="center"/>
    </xf>
    <xf numFmtId="0" fontId="17" fillId="0" borderId="30" xfId="0" applyFont="1" applyFill="1" applyBorder="1" applyAlignment="1" applyProtection="1">
      <alignment vertical="center"/>
    </xf>
    <xf numFmtId="4" fontId="1" fillId="4" borderId="33" xfId="0" applyNumberFormat="1" applyFont="1" applyFill="1" applyBorder="1" applyAlignment="1" applyProtection="1">
      <alignment vertical="center"/>
      <protection locked="0"/>
    </xf>
    <xf numFmtId="4" fontId="1" fillId="4" borderId="16" xfId="0" applyNumberFormat="1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" fontId="1" fillId="0" borderId="35" xfId="0" applyNumberFormat="1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vertical="center"/>
    </xf>
    <xf numFmtId="4" fontId="8" fillId="0" borderId="37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4" fontId="1" fillId="4" borderId="14" xfId="0" applyNumberFormat="1" applyFont="1" applyFill="1" applyBorder="1" applyAlignment="1" applyProtection="1">
      <alignment vertical="center"/>
      <protection locked="0"/>
    </xf>
    <xf numFmtId="0" fontId="11" fillId="0" borderId="38" xfId="0" applyFont="1" applyBorder="1" applyAlignment="1" applyProtection="1">
      <alignment vertical="center"/>
    </xf>
    <xf numFmtId="14" fontId="1" fillId="0" borderId="39" xfId="0" applyNumberFormat="1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vertical="center"/>
    </xf>
    <xf numFmtId="165" fontId="11" fillId="0" borderId="6" xfId="0" applyNumberFormat="1" applyFont="1" applyFill="1" applyBorder="1" applyAlignment="1" applyProtection="1">
      <alignment vertical="center"/>
    </xf>
    <xf numFmtId="0" fontId="0" fillId="0" borderId="30" xfId="0" applyBorder="1" applyAlignment="1">
      <alignment horizontal="right"/>
    </xf>
    <xf numFmtId="3" fontId="1" fillId="0" borderId="21" xfId="0" applyNumberFormat="1" applyFont="1" applyBorder="1" applyAlignment="1" applyProtection="1">
      <alignment vertical="center"/>
    </xf>
    <xf numFmtId="3" fontId="1" fillId="0" borderId="40" xfId="0" applyNumberFormat="1" applyFont="1" applyBorder="1" applyAlignment="1" applyProtection="1">
      <alignment vertical="center"/>
    </xf>
    <xf numFmtId="0" fontId="17" fillId="0" borderId="10" xfId="0" applyFont="1" applyBorder="1" applyAlignment="1" applyProtection="1">
      <alignment horizontal="left" vertical="center"/>
    </xf>
    <xf numFmtId="3" fontId="0" fillId="0" borderId="41" xfId="0" applyNumberFormat="1" applyBorder="1" applyAlignment="1">
      <alignment horizontal="right"/>
    </xf>
    <xf numFmtId="3" fontId="1" fillId="0" borderId="42" xfId="0" applyNumberFormat="1" applyFont="1" applyBorder="1" applyAlignment="1" applyProtection="1">
      <alignment vertical="center"/>
    </xf>
    <xf numFmtId="3" fontId="0" fillId="0" borderId="43" xfId="0" applyNumberFormat="1" applyBorder="1" applyAlignment="1">
      <alignment horizontal="right"/>
    </xf>
    <xf numFmtId="3" fontId="1" fillId="0" borderId="44" xfId="0" applyNumberFormat="1" applyFont="1" applyBorder="1" applyAlignment="1" applyProtection="1">
      <alignment vertical="center"/>
    </xf>
    <xf numFmtId="3" fontId="1" fillId="0" borderId="45" xfId="0" applyNumberFormat="1" applyFont="1" applyBorder="1" applyAlignment="1" applyProtection="1">
      <alignment vertical="center"/>
    </xf>
    <xf numFmtId="3" fontId="1" fillId="0" borderId="23" xfId="0" applyNumberFormat="1" applyFont="1" applyFill="1" applyBorder="1" applyAlignment="1" applyProtection="1">
      <alignment horizontal="center" vertical="center"/>
    </xf>
    <xf numFmtId="4" fontId="1" fillId="0" borderId="9" xfId="0" applyNumberFormat="1" applyFont="1" applyFill="1" applyBorder="1" applyAlignment="1" applyProtection="1">
      <alignment horizontal="center" vertical="center"/>
    </xf>
    <xf numFmtId="3" fontId="1" fillId="0" borderId="29" xfId="0" applyNumberFormat="1" applyFont="1" applyFill="1" applyBorder="1" applyAlignment="1" applyProtection="1">
      <alignment vertical="center"/>
    </xf>
    <xf numFmtId="4" fontId="1" fillId="0" borderId="33" xfId="0" applyNumberFormat="1" applyFont="1" applyFill="1" applyBorder="1" applyAlignment="1" applyProtection="1">
      <alignment vertical="center"/>
    </xf>
    <xf numFmtId="14" fontId="7" fillId="0" borderId="25" xfId="0" applyNumberFormat="1" applyFont="1" applyBorder="1" applyAlignment="1" applyProtection="1">
      <alignment horizontal="center" vertical="center"/>
    </xf>
    <xf numFmtId="4" fontId="7" fillId="6" borderId="13" xfId="0" applyNumberFormat="1" applyFont="1" applyFill="1" applyBorder="1" applyAlignment="1" applyProtection="1">
      <alignment vertical="center"/>
      <protection locked="0"/>
    </xf>
    <xf numFmtId="3" fontId="1" fillId="3" borderId="21" xfId="0" applyNumberFormat="1" applyFont="1" applyFill="1" applyBorder="1" applyAlignment="1" applyProtection="1">
      <alignment vertical="center"/>
    </xf>
    <xf numFmtId="3" fontId="1" fillId="3" borderId="22" xfId="0" applyNumberFormat="1" applyFont="1" applyFill="1" applyBorder="1" applyAlignment="1" applyProtection="1">
      <alignment vertical="center"/>
    </xf>
    <xf numFmtId="3" fontId="1" fillId="3" borderId="24" xfId="0" applyNumberFormat="1" applyFont="1" applyFill="1" applyBorder="1" applyAlignment="1" applyProtection="1">
      <alignment vertical="center"/>
    </xf>
    <xf numFmtId="3" fontId="1" fillId="3" borderId="25" xfId="0" applyNumberFormat="1" applyFont="1" applyFill="1" applyBorder="1" applyAlignment="1" applyProtection="1">
      <alignment vertical="center"/>
    </xf>
    <xf numFmtId="3" fontId="1" fillId="3" borderId="26" xfId="0" applyNumberFormat="1" applyFont="1" applyFill="1" applyBorder="1" applyAlignment="1" applyProtection="1">
      <alignment vertical="center"/>
    </xf>
    <xf numFmtId="4" fontId="1" fillId="0" borderId="48" xfId="0" applyNumberFormat="1" applyFont="1" applyFill="1" applyBorder="1" applyAlignment="1" applyProtection="1">
      <alignment vertical="center"/>
    </xf>
    <xf numFmtId="4" fontId="1" fillId="4" borderId="48" xfId="0" applyNumberFormat="1" applyFont="1" applyFill="1" applyBorder="1" applyAlignment="1" applyProtection="1">
      <alignment vertical="center"/>
      <protection locked="0"/>
    </xf>
    <xf numFmtId="4" fontId="1" fillId="6" borderId="15" xfId="0" applyNumberFormat="1" applyFont="1" applyFill="1" applyBorder="1" applyAlignment="1" applyProtection="1">
      <alignment vertical="center"/>
      <protection locked="0"/>
    </xf>
    <xf numFmtId="0" fontId="10" fillId="0" borderId="50" xfId="0" applyFont="1" applyBorder="1" applyAlignment="1" applyProtection="1">
      <alignment vertical="center"/>
    </xf>
    <xf numFmtId="4" fontId="7" fillId="0" borderId="51" xfId="0" applyNumberFormat="1" applyFont="1" applyFill="1" applyBorder="1" applyAlignment="1" applyProtection="1">
      <alignment vertical="center"/>
    </xf>
    <xf numFmtId="4" fontId="7" fillId="0" borderId="52" xfId="0" applyNumberFormat="1" applyFont="1" applyFill="1" applyBorder="1" applyAlignment="1" applyProtection="1">
      <alignment vertical="center"/>
    </xf>
    <xf numFmtId="3" fontId="1" fillId="0" borderId="53" xfId="0" applyNumberFormat="1" applyFont="1" applyFill="1" applyBorder="1" applyAlignment="1" applyProtection="1">
      <alignment vertical="center"/>
    </xf>
    <xf numFmtId="4" fontId="1" fillId="0" borderId="54" xfId="0" applyNumberFormat="1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50" xfId="0" applyFont="1" applyFill="1" applyBorder="1" applyAlignment="1" applyProtection="1">
      <alignment vertical="center"/>
    </xf>
    <xf numFmtId="3" fontId="7" fillId="0" borderId="0" xfId="0" applyNumberFormat="1" applyFont="1" applyAlignment="1" applyProtection="1">
      <alignment horizontal="center" vertical="center"/>
    </xf>
    <xf numFmtId="3" fontId="1" fillId="3" borderId="55" xfId="0" applyNumberFormat="1" applyFont="1" applyFill="1" applyBorder="1" applyAlignment="1" applyProtection="1">
      <alignment vertical="center"/>
    </xf>
    <xf numFmtId="3" fontId="1" fillId="3" borderId="56" xfId="0" applyNumberFormat="1" applyFont="1" applyFill="1" applyBorder="1" applyAlignment="1" applyProtection="1">
      <alignment vertical="center"/>
    </xf>
    <xf numFmtId="3" fontId="1" fillId="0" borderId="48" xfId="0" applyNumberFormat="1" applyFont="1" applyFill="1" applyBorder="1" applyAlignment="1" applyProtection="1">
      <alignment vertical="center"/>
    </xf>
    <xf numFmtId="4" fontId="1" fillId="0" borderId="49" xfId="0" applyNumberFormat="1" applyFont="1" applyFill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4" fontId="7" fillId="4" borderId="51" xfId="0" applyNumberFormat="1" applyFont="1" applyFill="1" applyBorder="1" applyAlignment="1" applyProtection="1">
      <alignment vertical="center"/>
      <protection locked="0"/>
    </xf>
    <xf numFmtId="4" fontId="7" fillId="4" borderId="32" xfId="0" applyNumberFormat="1" applyFont="1" applyFill="1" applyBorder="1" applyAlignment="1" applyProtection="1">
      <alignment vertical="center"/>
      <protection locked="0"/>
    </xf>
    <xf numFmtId="3" fontId="1" fillId="0" borderId="23" xfId="0" applyNumberFormat="1" applyFont="1" applyFill="1" applyBorder="1" applyAlignment="1" applyProtection="1">
      <alignment vertical="center"/>
    </xf>
    <xf numFmtId="4" fontId="1" fillId="0" borderId="6" xfId="0" applyNumberFormat="1" applyFont="1" applyFill="1" applyBorder="1" applyAlignment="1" applyProtection="1">
      <alignment vertical="center"/>
    </xf>
    <xf numFmtId="0" fontId="19" fillId="0" borderId="34" xfId="0" applyFont="1" applyBorder="1" applyAlignment="1" applyProtection="1">
      <alignment vertical="center" wrapText="1"/>
    </xf>
    <xf numFmtId="4" fontId="20" fillId="0" borderId="51" xfId="0" applyNumberFormat="1" applyFont="1" applyFill="1" applyBorder="1" applyAlignment="1" applyProtection="1">
      <alignment vertical="center"/>
    </xf>
    <xf numFmtId="4" fontId="20" fillId="0" borderId="32" xfId="0" applyNumberFormat="1" applyFont="1" applyFill="1" applyBorder="1" applyAlignment="1" applyProtection="1">
      <alignment vertical="center"/>
    </xf>
    <xf numFmtId="4" fontId="1" fillId="0" borderId="53" xfId="0" applyNumberFormat="1" applyFont="1" applyFill="1" applyBorder="1" applyAlignment="1" applyProtection="1">
      <alignment vertical="center"/>
    </xf>
    <xf numFmtId="0" fontId="17" fillId="0" borderId="43" xfId="0" applyFont="1" applyBorder="1" applyAlignment="1" applyProtection="1">
      <alignment vertical="center"/>
    </xf>
    <xf numFmtId="4" fontId="1" fillId="0" borderId="57" xfId="0" applyNumberFormat="1" applyFont="1" applyFill="1" applyBorder="1" applyAlignment="1" applyProtection="1">
      <alignment vertical="center"/>
    </xf>
    <xf numFmtId="4" fontId="1" fillId="0" borderId="19" xfId="0" applyNumberFormat="1" applyFont="1" applyFill="1" applyBorder="1" applyAlignment="1" applyProtection="1">
      <alignment vertical="center"/>
    </xf>
    <xf numFmtId="14" fontId="2" fillId="2" borderId="46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2" fillId="0" borderId="0" xfId="0" applyFont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/>
    </xf>
    <xf numFmtId="3" fontId="10" fillId="0" borderId="16" xfId="0" applyNumberFormat="1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center"/>
    </xf>
    <xf numFmtId="3" fontId="10" fillId="0" borderId="23" xfId="0" applyNumberFormat="1" applyFont="1" applyFill="1" applyBorder="1" applyAlignment="1" applyProtection="1">
      <alignment horizontal="center"/>
    </xf>
    <xf numFmtId="3" fontId="10" fillId="8" borderId="23" xfId="0" applyNumberFormat="1" applyFont="1" applyFill="1" applyBorder="1" applyAlignment="1" applyProtection="1">
      <alignment horizontal="center"/>
    </xf>
    <xf numFmtId="3" fontId="10" fillId="8" borderId="9" xfId="0" applyNumberFormat="1" applyFont="1" applyFill="1" applyBorder="1" applyAlignment="1" applyProtection="1">
      <alignment horizontal="center"/>
    </xf>
    <xf numFmtId="0" fontId="2" fillId="0" borderId="11" xfId="0" applyFont="1" applyBorder="1" applyProtection="1"/>
    <xf numFmtId="4" fontId="2" fillId="0" borderId="24" xfId="0" applyNumberFormat="1" applyFont="1" applyBorder="1" applyProtection="1"/>
    <xf numFmtId="0" fontId="6" fillId="0" borderId="11" xfId="0" applyFont="1" applyBorder="1" applyProtection="1"/>
    <xf numFmtId="4" fontId="1" fillId="0" borderId="12" xfId="0" applyNumberFormat="1" applyFont="1" applyFill="1" applyBorder="1" applyProtection="1"/>
    <xf numFmtId="4" fontId="6" fillId="0" borderId="0" xfId="0" applyNumberFormat="1" applyFont="1" applyBorder="1" applyProtection="1"/>
    <xf numFmtId="4" fontId="1" fillId="0" borderId="13" xfId="0" applyNumberFormat="1" applyFont="1" applyFill="1" applyBorder="1" applyProtection="1"/>
    <xf numFmtId="0" fontId="6" fillId="0" borderId="11" xfId="0" applyFont="1" applyFill="1" applyBorder="1" applyProtection="1"/>
    <xf numFmtId="4" fontId="1" fillId="4" borderId="12" xfId="0" applyNumberFormat="1" applyFont="1" applyFill="1" applyBorder="1" applyProtection="1">
      <protection locked="0"/>
    </xf>
    <xf numFmtId="3" fontId="0" fillId="0" borderId="0" xfId="0" applyNumberFormat="1" applyProtection="1"/>
    <xf numFmtId="4" fontId="6" fillId="0" borderId="0" xfId="0" applyNumberFormat="1" applyFont="1" applyFill="1" applyBorder="1" applyProtection="1"/>
    <xf numFmtId="4" fontId="1" fillId="0" borderId="12" xfId="0" applyNumberFormat="1" applyFont="1" applyBorder="1" applyProtection="1"/>
    <xf numFmtId="4" fontId="1" fillId="0" borderId="13" xfId="0" applyNumberFormat="1" applyFont="1" applyBorder="1" applyProtection="1"/>
    <xf numFmtId="4" fontId="1" fillId="4" borderId="13" xfId="0" applyNumberFormat="1" applyFont="1" applyFill="1" applyBorder="1" applyProtection="1">
      <protection locked="0"/>
    </xf>
    <xf numFmtId="4" fontId="2" fillId="0" borderId="0" xfId="0" applyNumberFormat="1" applyFont="1" applyBorder="1" applyProtection="1"/>
    <xf numFmtId="4" fontId="7" fillId="0" borderId="12" xfId="0" applyNumberFormat="1" applyFont="1" applyFill="1" applyBorder="1" applyProtection="1"/>
    <xf numFmtId="4" fontId="7" fillId="0" borderId="13" xfId="0" applyNumberFormat="1" applyFont="1" applyFill="1" applyBorder="1" applyProtection="1"/>
    <xf numFmtId="0" fontId="6" fillId="0" borderId="10" xfId="0" applyFont="1" applyFill="1" applyBorder="1" applyProtection="1"/>
    <xf numFmtId="0" fontId="2" fillId="0" borderId="10" xfId="0" applyFont="1" applyFill="1" applyBorder="1" applyProtection="1"/>
    <xf numFmtId="0" fontId="6" fillId="0" borderId="10" xfId="0" applyFont="1" applyBorder="1" applyProtection="1"/>
    <xf numFmtId="0" fontId="2" fillId="0" borderId="11" xfId="0" applyFont="1" applyFill="1" applyBorder="1" applyProtection="1"/>
    <xf numFmtId="4" fontId="1" fillId="0" borderId="12" xfId="0" applyNumberFormat="1" applyFon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46" xfId="0" applyNumberFormat="1" applyFont="1" applyFill="1" applyBorder="1" applyProtection="1"/>
    <xf numFmtId="4" fontId="12" fillId="0" borderId="59" xfId="0" applyNumberFormat="1" applyFont="1" applyFill="1" applyBorder="1" applyProtection="1"/>
    <xf numFmtId="4" fontId="1" fillId="0" borderId="16" xfId="0" applyNumberFormat="1" applyFont="1" applyFill="1" applyBorder="1" applyProtection="1"/>
    <xf numFmtId="4" fontId="1" fillId="0" borderId="17" xfId="0" applyNumberFormat="1" applyFont="1" applyFill="1" applyBorder="1" applyProtection="1"/>
    <xf numFmtId="0" fontId="3" fillId="0" borderId="60" xfId="0" applyFont="1" applyFill="1" applyBorder="1" applyProtection="1"/>
    <xf numFmtId="4" fontId="3" fillId="0" borderId="62" xfId="0" applyNumberFormat="1" applyFont="1" applyBorder="1" applyProtection="1"/>
    <xf numFmtId="0" fontId="12" fillId="0" borderId="10" xfId="0" applyFont="1" applyFill="1" applyBorder="1" applyProtection="1"/>
    <xf numFmtId="4" fontId="12" fillId="0" borderId="0" xfId="0" applyNumberFormat="1" applyFont="1" applyBorder="1" applyProtection="1"/>
    <xf numFmtId="0" fontId="2" fillId="0" borderId="64" xfId="0" applyFont="1" applyFill="1" applyBorder="1" applyProtection="1"/>
    <xf numFmtId="4" fontId="2" fillId="0" borderId="44" xfId="0" applyNumberFormat="1" applyFont="1" applyBorder="1" applyProtection="1"/>
    <xf numFmtId="4" fontId="21" fillId="0" borderId="0" xfId="0" applyNumberFormat="1" applyFont="1" applyProtection="1"/>
    <xf numFmtId="14" fontId="10" fillId="2" borderId="2" xfId="0" applyNumberFormat="1" applyFont="1" applyFill="1" applyBorder="1" applyAlignment="1" applyProtection="1">
      <alignment horizont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10" fillId="2" borderId="28" xfId="0" applyNumberFormat="1" applyFont="1" applyFill="1" applyBorder="1" applyAlignment="1" applyProtection="1">
      <alignment horizontal="center" vertical="center"/>
    </xf>
    <xf numFmtId="14" fontId="10" fillId="2" borderId="5" xfId="0" applyNumberFormat="1" applyFont="1" applyFill="1" applyBorder="1" applyAlignment="1" applyProtection="1">
      <alignment horizontal="center" vertical="center"/>
    </xf>
    <xf numFmtId="4" fontId="7" fillId="4" borderId="12" xfId="0" applyNumberFormat="1" applyFont="1" applyFill="1" applyBorder="1" applyProtection="1">
      <protection locked="0"/>
    </xf>
    <xf numFmtId="4" fontId="1" fillId="4" borderId="29" xfId="0" applyNumberFormat="1" applyFont="1" applyFill="1" applyBorder="1" applyProtection="1">
      <protection locked="0"/>
    </xf>
    <xf numFmtId="4" fontId="7" fillId="0" borderId="61" xfId="0" applyNumberFormat="1" applyFont="1" applyFill="1" applyBorder="1" applyProtection="1"/>
    <xf numFmtId="4" fontId="7" fillId="0" borderId="65" xfId="0" applyNumberFormat="1" applyFont="1" applyFill="1" applyBorder="1" applyProtection="1"/>
    <xf numFmtId="4" fontId="0" fillId="0" borderId="12" xfId="0" applyNumberFormat="1" applyFont="1" applyFill="1" applyBorder="1" applyProtection="1"/>
    <xf numFmtId="4" fontId="0" fillId="0" borderId="12" xfId="0" applyNumberFormat="1" applyFont="1" applyBorder="1" applyProtection="1"/>
    <xf numFmtId="4" fontId="0" fillId="0" borderId="13" xfId="0" applyNumberFormat="1" applyFont="1" applyBorder="1" applyProtection="1"/>
    <xf numFmtId="4" fontId="7" fillId="0" borderId="63" xfId="0" applyNumberFormat="1" applyFont="1" applyFill="1" applyBorder="1" applyProtection="1"/>
    <xf numFmtId="3" fontId="7" fillId="0" borderId="66" xfId="0" applyNumberFormat="1" applyFont="1" applyFill="1" applyBorder="1" applyProtection="1"/>
    <xf numFmtId="4" fontId="7" fillId="0" borderId="66" xfId="0" applyNumberFormat="1" applyFont="1" applyFill="1" applyBorder="1" applyProtection="1"/>
    <xf numFmtId="4" fontId="7" fillId="0" borderId="12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  <protection locked="0"/>
    </xf>
    <xf numFmtId="4" fontId="0" fillId="0" borderId="19" xfId="0" applyNumberFormat="1" applyFont="1" applyBorder="1" applyAlignment="1" applyProtection="1">
      <alignment vertical="center"/>
      <protection locked="0"/>
    </xf>
    <xf numFmtId="0" fontId="4" fillId="0" borderId="0" xfId="1"/>
    <xf numFmtId="0" fontId="2" fillId="0" borderId="0" xfId="1" applyFont="1" applyBorder="1"/>
    <xf numFmtId="0" fontId="3" fillId="0" borderId="0" xfId="1" applyFont="1" applyBorder="1"/>
    <xf numFmtId="0" fontId="2" fillId="0" borderId="67" xfId="1" applyFont="1" applyBorder="1" applyAlignment="1">
      <alignment horizontal="center"/>
    </xf>
    <xf numFmtId="0" fontId="2" fillId="0" borderId="0" xfId="1" applyFont="1"/>
    <xf numFmtId="0" fontId="4" fillId="0" borderId="0" xfId="1" applyBorder="1"/>
    <xf numFmtId="0" fontId="12" fillId="0" borderId="44" xfId="1" applyFont="1" applyBorder="1"/>
    <xf numFmtId="0" fontId="4" fillId="0" borderId="44" xfId="1" applyBorder="1"/>
    <xf numFmtId="0" fontId="6" fillId="0" borderId="44" xfId="1" applyFont="1" applyBorder="1"/>
    <xf numFmtId="0" fontId="12" fillId="2" borderId="1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2" fillId="2" borderId="71" xfId="1" applyFont="1" applyFill="1" applyBorder="1" applyAlignment="1">
      <alignment horizontal="center"/>
    </xf>
    <xf numFmtId="0" fontId="12" fillId="2" borderId="72" xfId="1" applyFont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12" fillId="2" borderId="51" xfId="1" applyFont="1" applyFill="1" applyBorder="1" applyAlignment="1">
      <alignment horizontal="center"/>
    </xf>
    <xf numFmtId="0" fontId="12" fillId="2" borderId="55" xfId="1" applyFont="1" applyFill="1" applyBorder="1" applyAlignment="1">
      <alignment horizontal="center"/>
    </xf>
    <xf numFmtId="0" fontId="12" fillId="2" borderId="52" xfId="1" applyFont="1" applyFill="1" applyBorder="1" applyAlignment="1">
      <alignment horizontal="center"/>
    </xf>
    <xf numFmtId="0" fontId="12" fillId="2" borderId="73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1" fillId="4" borderId="10" xfId="1" applyFont="1" applyFill="1" applyBorder="1" applyProtection="1">
      <protection locked="0"/>
    </xf>
    <xf numFmtId="3" fontId="1" fillId="4" borderId="74" xfId="1" applyNumberFormat="1" applyFont="1" applyFill="1" applyBorder="1" applyProtection="1">
      <protection locked="0"/>
    </xf>
    <xf numFmtId="3" fontId="1" fillId="0" borderId="75" xfId="1" applyNumberFormat="1" applyFont="1" applyFill="1" applyBorder="1"/>
    <xf numFmtId="4" fontId="1" fillId="4" borderId="74" xfId="1" applyNumberFormat="1" applyFont="1" applyFill="1" applyBorder="1" applyProtection="1">
      <protection locked="0"/>
    </xf>
    <xf numFmtId="10" fontId="1" fillId="0" borderId="75" xfId="1" applyNumberFormat="1" applyFont="1" applyFill="1" applyBorder="1"/>
    <xf numFmtId="3" fontId="1" fillId="4" borderId="12" xfId="1" applyNumberFormat="1" applyFont="1" applyFill="1" applyBorder="1" applyProtection="1">
      <protection locked="0"/>
    </xf>
    <xf numFmtId="4" fontId="1" fillId="4" borderId="12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2" fontId="7" fillId="4" borderId="76" xfId="1" applyNumberFormat="1" applyFont="1" applyFill="1" applyBorder="1" applyAlignment="1" applyProtection="1">
      <alignment horizontal="center"/>
      <protection locked="0"/>
    </xf>
    <xf numFmtId="10" fontId="1" fillId="0" borderId="13" xfId="1" applyNumberFormat="1" applyFont="1" applyFill="1" applyBorder="1"/>
    <xf numFmtId="3" fontId="1" fillId="4" borderId="76" xfId="1" applyNumberFormat="1" applyFont="1" applyFill="1" applyBorder="1" applyProtection="1">
      <protection locked="0"/>
    </xf>
    <xf numFmtId="2" fontId="7" fillId="4" borderId="12" xfId="1" applyNumberFormat="1" applyFont="1" applyFill="1" applyBorder="1" applyAlignment="1" applyProtection="1">
      <alignment horizontal="center"/>
      <protection locked="0"/>
    </xf>
    <xf numFmtId="0" fontId="22" fillId="0" borderId="0" xfId="1" applyFont="1"/>
    <xf numFmtId="2" fontId="22" fillId="0" borderId="0" xfId="1" applyNumberFormat="1" applyFont="1"/>
    <xf numFmtId="0" fontId="5" fillId="0" borderId="0" xfId="1" applyFont="1"/>
    <xf numFmtId="3" fontId="1" fillId="4" borderId="73" xfId="1" applyNumberFormat="1" applyFont="1" applyFill="1" applyBorder="1" applyProtection="1">
      <protection locked="0"/>
    </xf>
    <xf numFmtId="3" fontId="1" fillId="4" borderId="16" xfId="1" applyNumberFormat="1" applyFont="1" applyFill="1" applyBorder="1" applyProtection="1">
      <protection locked="0"/>
    </xf>
    <xf numFmtId="3" fontId="1" fillId="0" borderId="77" xfId="1" applyNumberFormat="1" applyFont="1" applyFill="1" applyBorder="1"/>
    <xf numFmtId="10" fontId="1" fillId="0" borderId="77" xfId="1" applyNumberFormat="1" applyFont="1" applyFill="1" applyBorder="1"/>
    <xf numFmtId="0" fontId="7" fillId="0" borderId="34" xfId="1" applyFont="1" applyBorder="1"/>
    <xf numFmtId="3" fontId="1" fillId="0" borderId="51" xfId="1" applyNumberFormat="1" applyFont="1" applyFill="1" applyBorder="1"/>
    <xf numFmtId="3" fontId="1" fillId="0" borderId="32" xfId="1" applyNumberFormat="1" applyFont="1" applyFill="1" applyBorder="1"/>
    <xf numFmtId="3" fontId="1" fillId="0" borderId="56" xfId="1" applyNumberFormat="1" applyFont="1" applyFill="1" applyBorder="1"/>
    <xf numFmtId="4" fontId="1" fillId="0" borderId="31" xfId="1" applyNumberFormat="1" applyFont="1" applyFill="1" applyBorder="1"/>
    <xf numFmtId="4" fontId="1" fillId="0" borderId="32" xfId="1" applyNumberFormat="1" applyFont="1" applyFill="1" applyBorder="1"/>
    <xf numFmtId="10" fontId="1" fillId="0" borderId="52" xfId="1" applyNumberFormat="1" applyFont="1" applyFill="1" applyBorder="1"/>
    <xf numFmtId="0" fontId="4" fillId="0" borderId="34" xfId="1" applyBorder="1"/>
    <xf numFmtId="0" fontId="2" fillId="0" borderId="55" xfId="1" applyFont="1" applyBorder="1"/>
    <xf numFmtId="0" fontId="4" fillId="0" borderId="55" xfId="1" applyBorder="1"/>
    <xf numFmtId="4" fontId="1" fillId="4" borderId="32" xfId="1" applyNumberFormat="1" applyFont="1" applyFill="1" applyBorder="1" applyProtection="1">
      <protection locked="0"/>
    </xf>
    <xf numFmtId="0" fontId="2" fillId="0" borderId="34" xfId="1" applyFont="1" applyBorder="1"/>
    <xf numFmtId="0" fontId="4" fillId="0" borderId="56" xfId="1" applyBorder="1"/>
    <xf numFmtId="0" fontId="6" fillId="0" borderId="31" xfId="1" applyFont="1" applyBorder="1"/>
    <xf numFmtId="10" fontId="1" fillId="0" borderId="32" xfId="1" applyNumberFormat="1" applyFont="1" applyFill="1" applyBorder="1"/>
    <xf numFmtId="0" fontId="4" fillId="0" borderId="30" xfId="1" applyBorder="1"/>
    <xf numFmtId="0" fontId="4" fillId="0" borderId="0" xfId="1" applyBorder="1" applyProtection="1">
      <protection locked="0"/>
    </xf>
    <xf numFmtId="0" fontId="6" fillId="0" borderId="52" xfId="1" applyFont="1" applyFill="1" applyBorder="1"/>
    <xf numFmtId="0" fontId="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6" fillId="0" borderId="55" xfId="1" applyFont="1" applyBorder="1" applyProtection="1">
      <protection locked="0"/>
    </xf>
    <xf numFmtId="4" fontId="6" fillId="0" borderId="6" xfId="1" applyNumberFormat="1" applyFont="1" applyFill="1" applyBorder="1"/>
    <xf numFmtId="10" fontId="23" fillId="0" borderId="32" xfId="1" applyNumberFormat="1" applyFont="1" applyFill="1" applyBorder="1"/>
    <xf numFmtId="0" fontId="3" fillId="0" borderId="78" xfId="1" applyFont="1" applyBorder="1"/>
    <xf numFmtId="0" fontId="3" fillId="0" borderId="79" xfId="1" applyFont="1" applyFill="1" applyBorder="1" applyProtection="1">
      <protection locked="0"/>
    </xf>
    <xf numFmtId="3" fontId="3" fillId="0" borderId="79" xfId="1" applyNumberFormat="1" applyFont="1" applyFill="1" applyBorder="1" applyProtection="1">
      <protection locked="0"/>
    </xf>
    <xf numFmtId="3" fontId="3" fillId="0" borderId="80" xfId="1" applyNumberFormat="1" applyFont="1" applyFill="1" applyBorder="1" applyProtection="1">
      <protection locked="0"/>
    </xf>
    <xf numFmtId="4" fontId="8" fillId="0" borderId="81" xfId="1" applyNumberFormat="1" applyFont="1" applyFill="1" applyBorder="1"/>
    <xf numFmtId="0" fontId="6" fillId="0" borderId="78" xfId="1" applyFont="1" applyFill="1" applyBorder="1" applyProtection="1">
      <protection locked="0"/>
    </xf>
    <xf numFmtId="3" fontId="6" fillId="0" borderId="79" xfId="1" applyNumberFormat="1" applyFont="1" applyFill="1" applyBorder="1" applyProtection="1">
      <protection locked="0"/>
    </xf>
    <xf numFmtId="3" fontId="6" fillId="0" borderId="80" xfId="1" applyNumberFormat="1" applyFont="1" applyFill="1" applyBorder="1" applyProtection="1">
      <protection locked="0"/>
    </xf>
    <xf numFmtId="10" fontId="5" fillId="0" borderId="82" xfId="1" applyNumberFormat="1" applyFont="1" applyFill="1" applyBorder="1"/>
    <xf numFmtId="14" fontId="8" fillId="2" borderId="46" xfId="0" applyNumberFormat="1" applyFont="1" applyFill="1" applyBorder="1" applyAlignment="1" applyProtection="1">
      <alignment horizontal="center"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4" fontId="2" fillId="2" borderId="84" xfId="0" applyNumberFormat="1" applyFont="1" applyFill="1" applyBorder="1" applyAlignment="1" applyProtection="1">
      <alignment horizontal="center" vertical="center"/>
    </xf>
    <xf numFmtId="3" fontId="1" fillId="0" borderId="47" xfId="0" applyNumberFormat="1" applyFont="1" applyFill="1" applyBorder="1" applyAlignment="1" applyProtection="1">
      <alignment horizontal="center" vertical="center"/>
    </xf>
    <xf numFmtId="3" fontId="1" fillId="0" borderId="33" xfId="0" applyNumberFormat="1" applyFont="1" applyFill="1" applyBorder="1" applyAlignment="1" applyProtection="1">
      <alignment vertical="center"/>
    </xf>
    <xf numFmtId="4" fontId="1" fillId="0" borderId="85" xfId="0" applyNumberFormat="1" applyFont="1" applyFill="1" applyBorder="1" applyAlignment="1" applyProtection="1">
      <alignment vertical="center"/>
    </xf>
    <xf numFmtId="4" fontId="1" fillId="4" borderId="85" xfId="0" applyNumberFormat="1" applyFont="1" applyFill="1" applyBorder="1" applyAlignment="1" applyProtection="1">
      <alignment vertical="center"/>
      <protection locked="0"/>
    </xf>
    <xf numFmtId="4" fontId="1" fillId="0" borderId="86" xfId="0" applyNumberFormat="1" applyFont="1" applyFill="1" applyBorder="1" applyAlignment="1" applyProtection="1">
      <alignment vertical="center"/>
    </xf>
    <xf numFmtId="4" fontId="8" fillId="0" borderId="87" xfId="0" applyNumberFormat="1" applyFont="1" applyFill="1" applyBorder="1" applyAlignment="1" applyProtection="1">
      <alignment vertical="center"/>
    </xf>
    <xf numFmtId="4" fontId="1" fillId="9" borderId="29" xfId="0" applyNumberFormat="1" applyFont="1" applyFill="1" applyBorder="1" applyAlignment="1" applyProtection="1">
      <alignment vertical="center"/>
      <protection locked="0"/>
    </xf>
    <xf numFmtId="4" fontId="1" fillId="9" borderId="12" xfId="0" applyNumberFormat="1" applyFont="1" applyFill="1" applyBorder="1" applyAlignment="1" applyProtection="1">
      <alignment vertical="center"/>
      <protection locked="0"/>
    </xf>
    <xf numFmtId="4" fontId="1" fillId="9" borderId="33" xfId="0" applyNumberFormat="1" applyFont="1" applyFill="1" applyBorder="1" applyAlignment="1" applyProtection="1">
      <alignment vertical="center"/>
      <protection locked="0"/>
    </xf>
    <xf numFmtId="4" fontId="1" fillId="10" borderId="12" xfId="0" applyNumberFormat="1" applyFont="1" applyFill="1" applyBorder="1" applyAlignment="1" applyProtection="1">
      <alignment vertical="center"/>
    </xf>
    <xf numFmtId="4" fontId="1" fillId="4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4" fontId="8" fillId="2" borderId="46" xfId="0" applyNumberFormat="1" applyFont="1" applyFill="1" applyBorder="1" applyAlignment="1" applyProtection="1">
      <alignment horizontal="center" vertical="center"/>
    </xf>
    <xf numFmtId="3" fontId="1" fillId="0" borderId="88" xfId="0" applyNumberFormat="1" applyFont="1" applyFill="1" applyBorder="1" applyAlignment="1" applyProtection="1">
      <alignment vertical="center"/>
    </xf>
    <xf numFmtId="4" fontId="7" fillId="0" borderId="29" xfId="0" applyNumberFormat="1" applyFont="1" applyFill="1" applyBorder="1" applyAlignment="1" applyProtection="1">
      <alignment vertical="center"/>
    </xf>
    <xf numFmtId="4" fontId="7" fillId="0" borderId="20" xfId="0" applyNumberFormat="1" applyFont="1" applyFill="1" applyBorder="1" applyAlignment="1" applyProtection="1">
      <alignment vertical="center"/>
    </xf>
    <xf numFmtId="164" fontId="2" fillId="2" borderId="58" xfId="0" applyNumberFormat="1" applyFont="1" applyFill="1" applyBorder="1" applyAlignment="1" applyProtection="1">
      <alignment horizontal="center" vertical="center"/>
    </xf>
    <xf numFmtId="3" fontId="1" fillId="0" borderId="47" xfId="0" applyNumberFormat="1" applyFont="1" applyFill="1" applyBorder="1" applyAlignment="1" applyProtection="1">
      <alignment vertical="center"/>
    </xf>
    <xf numFmtId="4" fontId="7" fillId="0" borderId="85" xfId="0" applyNumberFormat="1" applyFont="1" applyFill="1" applyBorder="1" applyAlignment="1" applyProtection="1">
      <alignment vertical="center"/>
    </xf>
    <xf numFmtId="3" fontId="1" fillId="0" borderId="85" xfId="0" applyNumberFormat="1" applyFont="1" applyFill="1" applyBorder="1" applyAlignment="1" applyProtection="1">
      <alignment vertical="center"/>
    </xf>
    <xf numFmtId="4" fontId="7" fillId="0" borderId="89" xfId="0" applyNumberFormat="1" applyFont="1" applyFill="1" applyBorder="1" applyAlignment="1" applyProtection="1">
      <alignment vertical="center"/>
    </xf>
    <xf numFmtId="4" fontId="7" fillId="0" borderId="83" xfId="0" applyNumberFormat="1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2" fillId="2" borderId="71" xfId="0" applyFont="1" applyFill="1" applyBorder="1" applyAlignment="1" applyProtection="1">
      <alignment horizontal="center" vertical="center"/>
    </xf>
    <xf numFmtId="4" fontId="7" fillId="0" borderId="13" xfId="0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4" fontId="7" fillId="0" borderId="90" xfId="0" applyNumberFormat="1" applyFont="1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4" fontId="1" fillId="0" borderId="92" xfId="0" applyNumberFormat="1" applyFont="1" applyFill="1" applyBorder="1" applyAlignment="1" applyProtection="1">
      <alignment vertical="center"/>
    </xf>
    <xf numFmtId="4" fontId="7" fillId="4" borderId="31" xfId="0" applyNumberFormat="1" applyFont="1" applyFill="1" applyBorder="1" applyAlignment="1" applyProtection="1">
      <alignment vertical="center"/>
      <protection locked="0"/>
    </xf>
    <xf numFmtId="4" fontId="20" fillId="0" borderId="31" xfId="0" applyNumberFormat="1" applyFont="1" applyFill="1" applyBorder="1" applyAlignment="1" applyProtection="1">
      <alignment vertical="center"/>
    </xf>
    <xf numFmtId="4" fontId="1" fillId="0" borderId="18" xfId="0" applyNumberFormat="1" applyFont="1" applyFill="1" applyBorder="1" applyAlignment="1" applyProtection="1">
      <alignment vertical="center"/>
    </xf>
    <xf numFmtId="14" fontId="2" fillId="2" borderId="71" xfId="0" applyNumberFormat="1" applyFont="1" applyFill="1" applyBorder="1" applyAlignment="1" applyProtection="1">
      <alignment horizontal="center" vertical="center"/>
    </xf>
    <xf numFmtId="14" fontId="2" fillId="2" borderId="28" xfId="0" applyNumberFormat="1" applyFont="1" applyFill="1" applyBorder="1" applyAlignment="1" applyProtection="1">
      <alignment horizontal="center" vertical="center"/>
    </xf>
    <xf numFmtId="4" fontId="1" fillId="4" borderId="15" xfId="0" applyNumberFormat="1" applyFont="1" applyFill="1" applyBorder="1" applyAlignment="1" applyProtection="1">
      <alignment vertical="center"/>
      <protection locked="0"/>
    </xf>
    <xf numFmtId="0" fontId="10" fillId="2" borderId="71" xfId="0" applyFont="1" applyFill="1" applyBorder="1" applyAlignment="1" applyProtection="1">
      <alignment horizontal="center" vertical="center"/>
    </xf>
    <xf numFmtId="3" fontId="10" fillId="0" borderId="17" xfId="0" applyNumberFormat="1" applyFont="1" applyFill="1" applyBorder="1" applyAlignment="1" applyProtection="1">
      <alignment horizontal="center"/>
    </xf>
    <xf numFmtId="4" fontId="7" fillId="4" borderId="13" xfId="0" applyNumberFormat="1" applyFont="1" applyFill="1" applyBorder="1" applyProtection="1">
      <protection locked="0"/>
    </xf>
    <xf numFmtId="4" fontId="1" fillId="0" borderId="28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3" fontId="7" fillId="0" borderId="25" xfId="0" applyNumberFormat="1" applyFont="1" applyBorder="1" applyAlignment="1" applyProtection="1">
      <alignment horizontal="center" vertical="center"/>
    </xf>
    <xf numFmtId="4" fontId="1" fillId="3" borderId="21" xfId="0" applyNumberFormat="1" applyFont="1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0" fontId="2" fillId="2" borderId="91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/>
    </xf>
    <xf numFmtId="0" fontId="2" fillId="2" borderId="7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gg004\Mis%20documentos\Libro%20Presupuesto%20para%20Informaci&#243;n%20IGA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topLeftCell="D28" zoomScale="87" zoomScaleNormal="87" workbookViewId="0">
      <selection activeCell="G54" sqref="G54"/>
    </sheetView>
  </sheetViews>
  <sheetFormatPr baseColWidth="10" defaultRowHeight="15" x14ac:dyDescent="0.25"/>
  <cols>
    <col min="1" max="1" width="17.140625" style="12" hidden="1" customWidth="1"/>
    <col min="2" max="2" width="18.85546875" style="13" hidden="1" customWidth="1"/>
    <col min="3" max="3" width="18.7109375" style="2" hidden="1" customWidth="1"/>
    <col min="4" max="4" width="47.7109375" style="12" customWidth="1"/>
    <col min="5" max="6" width="17.5703125" style="12" bestFit="1" customWidth="1"/>
    <col min="7" max="7" width="18.5703125" style="12" customWidth="1"/>
    <col min="8" max="8" width="48.7109375" style="12" customWidth="1"/>
    <col min="9" max="11" width="17.5703125" style="12" bestFit="1" customWidth="1"/>
    <col min="12" max="12" width="20.7109375" style="3" hidden="1" customWidth="1"/>
    <col min="13" max="13" width="20.7109375" style="2" hidden="1" customWidth="1"/>
    <col min="14" max="14" width="16.85546875" style="1" bestFit="1" customWidth="1"/>
    <col min="15" max="15" width="17.42578125" style="1" customWidth="1"/>
    <col min="16" max="16" width="14" style="1" bestFit="1" customWidth="1"/>
    <col min="17" max="17" width="11.42578125" style="1"/>
    <col min="18" max="18" width="14" style="1" bestFit="1" customWidth="1"/>
    <col min="19" max="27" width="11.42578125" style="1"/>
    <col min="28" max="254" width="11.42578125" style="12"/>
    <col min="255" max="257" width="0" style="12" hidden="1" customWidth="1"/>
    <col min="258" max="258" width="47.7109375" style="12" customWidth="1"/>
    <col min="259" max="262" width="20.7109375" style="12" customWidth="1"/>
    <col min="263" max="263" width="48.7109375" style="12" customWidth="1"/>
    <col min="264" max="266" width="20.7109375" style="12" customWidth="1"/>
    <col min="267" max="267" width="20.5703125" style="12" customWidth="1"/>
    <col min="268" max="269" width="0" style="12" hidden="1" customWidth="1"/>
    <col min="270" max="270" width="16.85546875" style="12" bestFit="1" customWidth="1"/>
    <col min="271" max="271" width="17.42578125" style="12" customWidth="1"/>
    <col min="272" max="272" width="14" style="12" bestFit="1" customWidth="1"/>
    <col min="273" max="273" width="11.42578125" style="12"/>
    <col min="274" max="274" width="14" style="12" bestFit="1" customWidth="1"/>
    <col min="275" max="510" width="11.42578125" style="12"/>
    <col min="511" max="513" width="0" style="12" hidden="1" customWidth="1"/>
    <col min="514" max="514" width="47.7109375" style="12" customWidth="1"/>
    <col min="515" max="518" width="20.7109375" style="12" customWidth="1"/>
    <col min="519" max="519" width="48.7109375" style="12" customWidth="1"/>
    <col min="520" max="522" width="20.7109375" style="12" customWidth="1"/>
    <col min="523" max="523" width="20.5703125" style="12" customWidth="1"/>
    <col min="524" max="525" width="0" style="12" hidden="1" customWidth="1"/>
    <col min="526" max="526" width="16.85546875" style="12" bestFit="1" customWidth="1"/>
    <col min="527" max="527" width="17.42578125" style="12" customWidth="1"/>
    <col min="528" max="528" width="14" style="12" bestFit="1" customWidth="1"/>
    <col min="529" max="529" width="11.42578125" style="12"/>
    <col min="530" max="530" width="14" style="12" bestFit="1" customWidth="1"/>
    <col min="531" max="766" width="11.42578125" style="12"/>
    <col min="767" max="769" width="0" style="12" hidden="1" customWidth="1"/>
    <col min="770" max="770" width="47.7109375" style="12" customWidth="1"/>
    <col min="771" max="774" width="20.7109375" style="12" customWidth="1"/>
    <col min="775" max="775" width="48.7109375" style="12" customWidth="1"/>
    <col min="776" max="778" width="20.7109375" style="12" customWidth="1"/>
    <col min="779" max="779" width="20.5703125" style="12" customWidth="1"/>
    <col min="780" max="781" width="0" style="12" hidden="1" customWidth="1"/>
    <col min="782" max="782" width="16.85546875" style="12" bestFit="1" customWidth="1"/>
    <col min="783" max="783" width="17.42578125" style="12" customWidth="1"/>
    <col min="784" max="784" width="14" style="12" bestFit="1" customWidth="1"/>
    <col min="785" max="785" width="11.42578125" style="12"/>
    <col min="786" max="786" width="14" style="12" bestFit="1" customWidth="1"/>
    <col min="787" max="1022" width="11.42578125" style="12"/>
    <col min="1023" max="1025" width="0" style="12" hidden="1" customWidth="1"/>
    <col min="1026" max="1026" width="47.7109375" style="12" customWidth="1"/>
    <col min="1027" max="1030" width="20.7109375" style="12" customWidth="1"/>
    <col min="1031" max="1031" width="48.7109375" style="12" customWidth="1"/>
    <col min="1032" max="1034" width="20.7109375" style="12" customWidth="1"/>
    <col min="1035" max="1035" width="20.5703125" style="12" customWidth="1"/>
    <col min="1036" max="1037" width="0" style="12" hidden="1" customWidth="1"/>
    <col min="1038" max="1038" width="16.85546875" style="12" bestFit="1" customWidth="1"/>
    <col min="1039" max="1039" width="17.42578125" style="12" customWidth="1"/>
    <col min="1040" max="1040" width="14" style="12" bestFit="1" customWidth="1"/>
    <col min="1041" max="1041" width="11.42578125" style="12"/>
    <col min="1042" max="1042" width="14" style="12" bestFit="1" customWidth="1"/>
    <col min="1043" max="1278" width="11.42578125" style="12"/>
    <col min="1279" max="1281" width="0" style="12" hidden="1" customWidth="1"/>
    <col min="1282" max="1282" width="47.7109375" style="12" customWidth="1"/>
    <col min="1283" max="1286" width="20.7109375" style="12" customWidth="1"/>
    <col min="1287" max="1287" width="48.7109375" style="12" customWidth="1"/>
    <col min="1288" max="1290" width="20.7109375" style="12" customWidth="1"/>
    <col min="1291" max="1291" width="20.5703125" style="12" customWidth="1"/>
    <col min="1292" max="1293" width="0" style="12" hidden="1" customWidth="1"/>
    <col min="1294" max="1294" width="16.85546875" style="12" bestFit="1" customWidth="1"/>
    <col min="1295" max="1295" width="17.42578125" style="12" customWidth="1"/>
    <col min="1296" max="1296" width="14" style="12" bestFit="1" customWidth="1"/>
    <col min="1297" max="1297" width="11.42578125" style="12"/>
    <col min="1298" max="1298" width="14" style="12" bestFit="1" customWidth="1"/>
    <col min="1299" max="1534" width="11.42578125" style="12"/>
    <col min="1535" max="1537" width="0" style="12" hidden="1" customWidth="1"/>
    <col min="1538" max="1538" width="47.7109375" style="12" customWidth="1"/>
    <col min="1539" max="1542" width="20.7109375" style="12" customWidth="1"/>
    <col min="1543" max="1543" width="48.7109375" style="12" customWidth="1"/>
    <col min="1544" max="1546" width="20.7109375" style="12" customWidth="1"/>
    <col min="1547" max="1547" width="20.5703125" style="12" customWidth="1"/>
    <col min="1548" max="1549" width="0" style="12" hidden="1" customWidth="1"/>
    <col min="1550" max="1550" width="16.85546875" style="12" bestFit="1" customWidth="1"/>
    <col min="1551" max="1551" width="17.42578125" style="12" customWidth="1"/>
    <col min="1552" max="1552" width="14" style="12" bestFit="1" customWidth="1"/>
    <col min="1553" max="1553" width="11.42578125" style="12"/>
    <col min="1554" max="1554" width="14" style="12" bestFit="1" customWidth="1"/>
    <col min="1555" max="1790" width="11.42578125" style="12"/>
    <col min="1791" max="1793" width="0" style="12" hidden="1" customWidth="1"/>
    <col min="1794" max="1794" width="47.7109375" style="12" customWidth="1"/>
    <col min="1795" max="1798" width="20.7109375" style="12" customWidth="1"/>
    <col min="1799" max="1799" width="48.7109375" style="12" customWidth="1"/>
    <col min="1800" max="1802" width="20.7109375" style="12" customWidth="1"/>
    <col min="1803" max="1803" width="20.5703125" style="12" customWidth="1"/>
    <col min="1804" max="1805" width="0" style="12" hidden="1" customWidth="1"/>
    <col min="1806" max="1806" width="16.85546875" style="12" bestFit="1" customWidth="1"/>
    <col min="1807" max="1807" width="17.42578125" style="12" customWidth="1"/>
    <col min="1808" max="1808" width="14" style="12" bestFit="1" customWidth="1"/>
    <col min="1809" max="1809" width="11.42578125" style="12"/>
    <col min="1810" max="1810" width="14" style="12" bestFit="1" customWidth="1"/>
    <col min="1811" max="2046" width="11.42578125" style="12"/>
    <col min="2047" max="2049" width="0" style="12" hidden="1" customWidth="1"/>
    <col min="2050" max="2050" width="47.7109375" style="12" customWidth="1"/>
    <col min="2051" max="2054" width="20.7109375" style="12" customWidth="1"/>
    <col min="2055" max="2055" width="48.7109375" style="12" customWidth="1"/>
    <col min="2056" max="2058" width="20.7109375" style="12" customWidth="1"/>
    <col min="2059" max="2059" width="20.5703125" style="12" customWidth="1"/>
    <col min="2060" max="2061" width="0" style="12" hidden="1" customWidth="1"/>
    <col min="2062" max="2062" width="16.85546875" style="12" bestFit="1" customWidth="1"/>
    <col min="2063" max="2063" width="17.42578125" style="12" customWidth="1"/>
    <col min="2064" max="2064" width="14" style="12" bestFit="1" customWidth="1"/>
    <col min="2065" max="2065" width="11.42578125" style="12"/>
    <col min="2066" max="2066" width="14" style="12" bestFit="1" customWidth="1"/>
    <col min="2067" max="2302" width="11.42578125" style="12"/>
    <col min="2303" max="2305" width="0" style="12" hidden="1" customWidth="1"/>
    <col min="2306" max="2306" width="47.7109375" style="12" customWidth="1"/>
    <col min="2307" max="2310" width="20.7109375" style="12" customWidth="1"/>
    <col min="2311" max="2311" width="48.7109375" style="12" customWidth="1"/>
    <col min="2312" max="2314" width="20.7109375" style="12" customWidth="1"/>
    <col min="2315" max="2315" width="20.5703125" style="12" customWidth="1"/>
    <col min="2316" max="2317" width="0" style="12" hidden="1" customWidth="1"/>
    <col min="2318" max="2318" width="16.85546875" style="12" bestFit="1" customWidth="1"/>
    <col min="2319" max="2319" width="17.42578125" style="12" customWidth="1"/>
    <col min="2320" max="2320" width="14" style="12" bestFit="1" customWidth="1"/>
    <col min="2321" max="2321" width="11.42578125" style="12"/>
    <col min="2322" max="2322" width="14" style="12" bestFit="1" customWidth="1"/>
    <col min="2323" max="2558" width="11.42578125" style="12"/>
    <col min="2559" max="2561" width="0" style="12" hidden="1" customWidth="1"/>
    <col min="2562" max="2562" width="47.7109375" style="12" customWidth="1"/>
    <col min="2563" max="2566" width="20.7109375" style="12" customWidth="1"/>
    <col min="2567" max="2567" width="48.7109375" style="12" customWidth="1"/>
    <col min="2568" max="2570" width="20.7109375" style="12" customWidth="1"/>
    <col min="2571" max="2571" width="20.5703125" style="12" customWidth="1"/>
    <col min="2572" max="2573" width="0" style="12" hidden="1" customWidth="1"/>
    <col min="2574" max="2574" width="16.85546875" style="12" bestFit="1" customWidth="1"/>
    <col min="2575" max="2575" width="17.42578125" style="12" customWidth="1"/>
    <col min="2576" max="2576" width="14" style="12" bestFit="1" customWidth="1"/>
    <col min="2577" max="2577" width="11.42578125" style="12"/>
    <col min="2578" max="2578" width="14" style="12" bestFit="1" customWidth="1"/>
    <col min="2579" max="2814" width="11.42578125" style="12"/>
    <col min="2815" max="2817" width="0" style="12" hidden="1" customWidth="1"/>
    <col min="2818" max="2818" width="47.7109375" style="12" customWidth="1"/>
    <col min="2819" max="2822" width="20.7109375" style="12" customWidth="1"/>
    <col min="2823" max="2823" width="48.7109375" style="12" customWidth="1"/>
    <col min="2824" max="2826" width="20.7109375" style="12" customWidth="1"/>
    <col min="2827" max="2827" width="20.5703125" style="12" customWidth="1"/>
    <col min="2828" max="2829" width="0" style="12" hidden="1" customWidth="1"/>
    <col min="2830" max="2830" width="16.85546875" style="12" bestFit="1" customWidth="1"/>
    <col min="2831" max="2831" width="17.42578125" style="12" customWidth="1"/>
    <col min="2832" max="2832" width="14" style="12" bestFit="1" customWidth="1"/>
    <col min="2833" max="2833" width="11.42578125" style="12"/>
    <col min="2834" max="2834" width="14" style="12" bestFit="1" customWidth="1"/>
    <col min="2835" max="3070" width="11.42578125" style="12"/>
    <col min="3071" max="3073" width="0" style="12" hidden="1" customWidth="1"/>
    <col min="3074" max="3074" width="47.7109375" style="12" customWidth="1"/>
    <col min="3075" max="3078" width="20.7109375" style="12" customWidth="1"/>
    <col min="3079" max="3079" width="48.7109375" style="12" customWidth="1"/>
    <col min="3080" max="3082" width="20.7109375" style="12" customWidth="1"/>
    <col min="3083" max="3083" width="20.5703125" style="12" customWidth="1"/>
    <col min="3084" max="3085" width="0" style="12" hidden="1" customWidth="1"/>
    <col min="3086" max="3086" width="16.85546875" style="12" bestFit="1" customWidth="1"/>
    <col min="3087" max="3087" width="17.42578125" style="12" customWidth="1"/>
    <col min="3088" max="3088" width="14" style="12" bestFit="1" customWidth="1"/>
    <col min="3089" max="3089" width="11.42578125" style="12"/>
    <col min="3090" max="3090" width="14" style="12" bestFit="1" customWidth="1"/>
    <col min="3091" max="3326" width="11.42578125" style="12"/>
    <col min="3327" max="3329" width="0" style="12" hidden="1" customWidth="1"/>
    <col min="3330" max="3330" width="47.7109375" style="12" customWidth="1"/>
    <col min="3331" max="3334" width="20.7109375" style="12" customWidth="1"/>
    <col min="3335" max="3335" width="48.7109375" style="12" customWidth="1"/>
    <col min="3336" max="3338" width="20.7109375" style="12" customWidth="1"/>
    <col min="3339" max="3339" width="20.5703125" style="12" customWidth="1"/>
    <col min="3340" max="3341" width="0" style="12" hidden="1" customWidth="1"/>
    <col min="3342" max="3342" width="16.85546875" style="12" bestFit="1" customWidth="1"/>
    <col min="3343" max="3343" width="17.42578125" style="12" customWidth="1"/>
    <col min="3344" max="3344" width="14" style="12" bestFit="1" customWidth="1"/>
    <col min="3345" max="3345" width="11.42578125" style="12"/>
    <col min="3346" max="3346" width="14" style="12" bestFit="1" customWidth="1"/>
    <col min="3347" max="3582" width="11.42578125" style="12"/>
    <col min="3583" max="3585" width="0" style="12" hidden="1" customWidth="1"/>
    <col min="3586" max="3586" width="47.7109375" style="12" customWidth="1"/>
    <col min="3587" max="3590" width="20.7109375" style="12" customWidth="1"/>
    <col min="3591" max="3591" width="48.7109375" style="12" customWidth="1"/>
    <col min="3592" max="3594" width="20.7109375" style="12" customWidth="1"/>
    <col min="3595" max="3595" width="20.5703125" style="12" customWidth="1"/>
    <col min="3596" max="3597" width="0" style="12" hidden="1" customWidth="1"/>
    <col min="3598" max="3598" width="16.85546875" style="12" bestFit="1" customWidth="1"/>
    <col min="3599" max="3599" width="17.42578125" style="12" customWidth="1"/>
    <col min="3600" max="3600" width="14" style="12" bestFit="1" customWidth="1"/>
    <col min="3601" max="3601" width="11.42578125" style="12"/>
    <col min="3602" max="3602" width="14" style="12" bestFit="1" customWidth="1"/>
    <col min="3603" max="3838" width="11.42578125" style="12"/>
    <col min="3839" max="3841" width="0" style="12" hidden="1" customWidth="1"/>
    <col min="3842" max="3842" width="47.7109375" style="12" customWidth="1"/>
    <col min="3843" max="3846" width="20.7109375" style="12" customWidth="1"/>
    <col min="3847" max="3847" width="48.7109375" style="12" customWidth="1"/>
    <col min="3848" max="3850" width="20.7109375" style="12" customWidth="1"/>
    <col min="3851" max="3851" width="20.5703125" style="12" customWidth="1"/>
    <col min="3852" max="3853" width="0" style="12" hidden="1" customWidth="1"/>
    <col min="3854" max="3854" width="16.85546875" style="12" bestFit="1" customWidth="1"/>
    <col min="3855" max="3855" width="17.42578125" style="12" customWidth="1"/>
    <col min="3856" max="3856" width="14" style="12" bestFit="1" customWidth="1"/>
    <col min="3857" max="3857" width="11.42578125" style="12"/>
    <col min="3858" max="3858" width="14" style="12" bestFit="1" customWidth="1"/>
    <col min="3859" max="4094" width="11.42578125" style="12"/>
    <col min="4095" max="4097" width="0" style="12" hidden="1" customWidth="1"/>
    <col min="4098" max="4098" width="47.7109375" style="12" customWidth="1"/>
    <col min="4099" max="4102" width="20.7109375" style="12" customWidth="1"/>
    <col min="4103" max="4103" width="48.7109375" style="12" customWidth="1"/>
    <col min="4104" max="4106" width="20.7109375" style="12" customWidth="1"/>
    <col min="4107" max="4107" width="20.5703125" style="12" customWidth="1"/>
    <col min="4108" max="4109" width="0" style="12" hidden="1" customWidth="1"/>
    <col min="4110" max="4110" width="16.85546875" style="12" bestFit="1" customWidth="1"/>
    <col min="4111" max="4111" width="17.42578125" style="12" customWidth="1"/>
    <col min="4112" max="4112" width="14" style="12" bestFit="1" customWidth="1"/>
    <col min="4113" max="4113" width="11.42578125" style="12"/>
    <col min="4114" max="4114" width="14" style="12" bestFit="1" customWidth="1"/>
    <col min="4115" max="4350" width="11.42578125" style="12"/>
    <col min="4351" max="4353" width="0" style="12" hidden="1" customWidth="1"/>
    <col min="4354" max="4354" width="47.7109375" style="12" customWidth="1"/>
    <col min="4355" max="4358" width="20.7109375" style="12" customWidth="1"/>
    <col min="4359" max="4359" width="48.7109375" style="12" customWidth="1"/>
    <col min="4360" max="4362" width="20.7109375" style="12" customWidth="1"/>
    <col min="4363" max="4363" width="20.5703125" style="12" customWidth="1"/>
    <col min="4364" max="4365" width="0" style="12" hidden="1" customWidth="1"/>
    <col min="4366" max="4366" width="16.85546875" style="12" bestFit="1" customWidth="1"/>
    <col min="4367" max="4367" width="17.42578125" style="12" customWidth="1"/>
    <col min="4368" max="4368" width="14" style="12" bestFit="1" customWidth="1"/>
    <col min="4369" max="4369" width="11.42578125" style="12"/>
    <col min="4370" max="4370" width="14" style="12" bestFit="1" customWidth="1"/>
    <col min="4371" max="4606" width="11.42578125" style="12"/>
    <col min="4607" max="4609" width="0" style="12" hidden="1" customWidth="1"/>
    <col min="4610" max="4610" width="47.7109375" style="12" customWidth="1"/>
    <col min="4611" max="4614" width="20.7109375" style="12" customWidth="1"/>
    <col min="4615" max="4615" width="48.7109375" style="12" customWidth="1"/>
    <col min="4616" max="4618" width="20.7109375" style="12" customWidth="1"/>
    <col min="4619" max="4619" width="20.5703125" style="12" customWidth="1"/>
    <col min="4620" max="4621" width="0" style="12" hidden="1" customWidth="1"/>
    <col min="4622" max="4622" width="16.85546875" style="12" bestFit="1" customWidth="1"/>
    <col min="4623" max="4623" width="17.42578125" style="12" customWidth="1"/>
    <col min="4624" max="4624" width="14" style="12" bestFit="1" customWidth="1"/>
    <col min="4625" max="4625" width="11.42578125" style="12"/>
    <col min="4626" max="4626" width="14" style="12" bestFit="1" customWidth="1"/>
    <col min="4627" max="4862" width="11.42578125" style="12"/>
    <col min="4863" max="4865" width="0" style="12" hidden="1" customWidth="1"/>
    <col min="4866" max="4866" width="47.7109375" style="12" customWidth="1"/>
    <col min="4867" max="4870" width="20.7109375" style="12" customWidth="1"/>
    <col min="4871" max="4871" width="48.7109375" style="12" customWidth="1"/>
    <col min="4872" max="4874" width="20.7109375" style="12" customWidth="1"/>
    <col min="4875" max="4875" width="20.5703125" style="12" customWidth="1"/>
    <col min="4876" max="4877" width="0" style="12" hidden="1" customWidth="1"/>
    <col min="4878" max="4878" width="16.85546875" style="12" bestFit="1" customWidth="1"/>
    <col min="4879" max="4879" width="17.42578125" style="12" customWidth="1"/>
    <col min="4880" max="4880" width="14" style="12" bestFit="1" customWidth="1"/>
    <col min="4881" max="4881" width="11.42578125" style="12"/>
    <col min="4882" max="4882" width="14" style="12" bestFit="1" customWidth="1"/>
    <col min="4883" max="5118" width="11.42578125" style="12"/>
    <col min="5119" max="5121" width="0" style="12" hidden="1" customWidth="1"/>
    <col min="5122" max="5122" width="47.7109375" style="12" customWidth="1"/>
    <col min="5123" max="5126" width="20.7109375" style="12" customWidth="1"/>
    <col min="5127" max="5127" width="48.7109375" style="12" customWidth="1"/>
    <col min="5128" max="5130" width="20.7109375" style="12" customWidth="1"/>
    <col min="5131" max="5131" width="20.5703125" style="12" customWidth="1"/>
    <col min="5132" max="5133" width="0" style="12" hidden="1" customWidth="1"/>
    <col min="5134" max="5134" width="16.85546875" style="12" bestFit="1" customWidth="1"/>
    <col min="5135" max="5135" width="17.42578125" style="12" customWidth="1"/>
    <col min="5136" max="5136" width="14" style="12" bestFit="1" customWidth="1"/>
    <col min="5137" max="5137" width="11.42578125" style="12"/>
    <col min="5138" max="5138" width="14" style="12" bestFit="1" customWidth="1"/>
    <col min="5139" max="5374" width="11.42578125" style="12"/>
    <col min="5375" max="5377" width="0" style="12" hidden="1" customWidth="1"/>
    <col min="5378" max="5378" width="47.7109375" style="12" customWidth="1"/>
    <col min="5379" max="5382" width="20.7109375" style="12" customWidth="1"/>
    <col min="5383" max="5383" width="48.7109375" style="12" customWidth="1"/>
    <col min="5384" max="5386" width="20.7109375" style="12" customWidth="1"/>
    <col min="5387" max="5387" width="20.5703125" style="12" customWidth="1"/>
    <col min="5388" max="5389" width="0" style="12" hidden="1" customWidth="1"/>
    <col min="5390" max="5390" width="16.85546875" style="12" bestFit="1" customWidth="1"/>
    <col min="5391" max="5391" width="17.42578125" style="12" customWidth="1"/>
    <col min="5392" max="5392" width="14" style="12" bestFit="1" customWidth="1"/>
    <col min="5393" max="5393" width="11.42578125" style="12"/>
    <col min="5394" max="5394" width="14" style="12" bestFit="1" customWidth="1"/>
    <col min="5395" max="5630" width="11.42578125" style="12"/>
    <col min="5631" max="5633" width="0" style="12" hidden="1" customWidth="1"/>
    <col min="5634" max="5634" width="47.7109375" style="12" customWidth="1"/>
    <col min="5635" max="5638" width="20.7109375" style="12" customWidth="1"/>
    <col min="5639" max="5639" width="48.7109375" style="12" customWidth="1"/>
    <col min="5640" max="5642" width="20.7109375" style="12" customWidth="1"/>
    <col min="5643" max="5643" width="20.5703125" style="12" customWidth="1"/>
    <col min="5644" max="5645" width="0" style="12" hidden="1" customWidth="1"/>
    <col min="5646" max="5646" width="16.85546875" style="12" bestFit="1" customWidth="1"/>
    <col min="5647" max="5647" width="17.42578125" style="12" customWidth="1"/>
    <col min="5648" max="5648" width="14" style="12" bestFit="1" customWidth="1"/>
    <col min="5649" max="5649" width="11.42578125" style="12"/>
    <col min="5650" max="5650" width="14" style="12" bestFit="1" customWidth="1"/>
    <col min="5651" max="5886" width="11.42578125" style="12"/>
    <col min="5887" max="5889" width="0" style="12" hidden="1" customWidth="1"/>
    <col min="5890" max="5890" width="47.7109375" style="12" customWidth="1"/>
    <col min="5891" max="5894" width="20.7109375" style="12" customWidth="1"/>
    <col min="5895" max="5895" width="48.7109375" style="12" customWidth="1"/>
    <col min="5896" max="5898" width="20.7109375" style="12" customWidth="1"/>
    <col min="5899" max="5899" width="20.5703125" style="12" customWidth="1"/>
    <col min="5900" max="5901" width="0" style="12" hidden="1" customWidth="1"/>
    <col min="5902" max="5902" width="16.85546875" style="12" bestFit="1" customWidth="1"/>
    <col min="5903" max="5903" width="17.42578125" style="12" customWidth="1"/>
    <col min="5904" max="5904" width="14" style="12" bestFit="1" customWidth="1"/>
    <col min="5905" max="5905" width="11.42578125" style="12"/>
    <col min="5906" max="5906" width="14" style="12" bestFit="1" customWidth="1"/>
    <col min="5907" max="6142" width="11.42578125" style="12"/>
    <col min="6143" max="6145" width="0" style="12" hidden="1" customWidth="1"/>
    <col min="6146" max="6146" width="47.7109375" style="12" customWidth="1"/>
    <col min="6147" max="6150" width="20.7109375" style="12" customWidth="1"/>
    <col min="6151" max="6151" width="48.7109375" style="12" customWidth="1"/>
    <col min="6152" max="6154" width="20.7109375" style="12" customWidth="1"/>
    <col min="6155" max="6155" width="20.5703125" style="12" customWidth="1"/>
    <col min="6156" max="6157" width="0" style="12" hidden="1" customWidth="1"/>
    <col min="6158" max="6158" width="16.85546875" style="12" bestFit="1" customWidth="1"/>
    <col min="6159" max="6159" width="17.42578125" style="12" customWidth="1"/>
    <col min="6160" max="6160" width="14" style="12" bestFit="1" customWidth="1"/>
    <col min="6161" max="6161" width="11.42578125" style="12"/>
    <col min="6162" max="6162" width="14" style="12" bestFit="1" customWidth="1"/>
    <col min="6163" max="6398" width="11.42578125" style="12"/>
    <col min="6399" max="6401" width="0" style="12" hidden="1" customWidth="1"/>
    <col min="6402" max="6402" width="47.7109375" style="12" customWidth="1"/>
    <col min="6403" max="6406" width="20.7109375" style="12" customWidth="1"/>
    <col min="6407" max="6407" width="48.7109375" style="12" customWidth="1"/>
    <col min="6408" max="6410" width="20.7109375" style="12" customWidth="1"/>
    <col min="6411" max="6411" width="20.5703125" style="12" customWidth="1"/>
    <col min="6412" max="6413" width="0" style="12" hidden="1" customWidth="1"/>
    <col min="6414" max="6414" width="16.85546875" style="12" bestFit="1" customWidth="1"/>
    <col min="6415" max="6415" width="17.42578125" style="12" customWidth="1"/>
    <col min="6416" max="6416" width="14" style="12" bestFit="1" customWidth="1"/>
    <col min="6417" max="6417" width="11.42578125" style="12"/>
    <col min="6418" max="6418" width="14" style="12" bestFit="1" customWidth="1"/>
    <col min="6419" max="6654" width="11.42578125" style="12"/>
    <col min="6655" max="6657" width="0" style="12" hidden="1" customWidth="1"/>
    <col min="6658" max="6658" width="47.7109375" style="12" customWidth="1"/>
    <col min="6659" max="6662" width="20.7109375" style="12" customWidth="1"/>
    <col min="6663" max="6663" width="48.7109375" style="12" customWidth="1"/>
    <col min="6664" max="6666" width="20.7109375" style="12" customWidth="1"/>
    <col min="6667" max="6667" width="20.5703125" style="12" customWidth="1"/>
    <col min="6668" max="6669" width="0" style="12" hidden="1" customWidth="1"/>
    <col min="6670" max="6670" width="16.85546875" style="12" bestFit="1" customWidth="1"/>
    <col min="6671" max="6671" width="17.42578125" style="12" customWidth="1"/>
    <col min="6672" max="6672" width="14" style="12" bestFit="1" customWidth="1"/>
    <col min="6673" max="6673" width="11.42578125" style="12"/>
    <col min="6674" max="6674" width="14" style="12" bestFit="1" customWidth="1"/>
    <col min="6675" max="6910" width="11.42578125" style="12"/>
    <col min="6911" max="6913" width="0" style="12" hidden="1" customWidth="1"/>
    <col min="6914" max="6914" width="47.7109375" style="12" customWidth="1"/>
    <col min="6915" max="6918" width="20.7109375" style="12" customWidth="1"/>
    <col min="6919" max="6919" width="48.7109375" style="12" customWidth="1"/>
    <col min="6920" max="6922" width="20.7109375" style="12" customWidth="1"/>
    <col min="6923" max="6923" width="20.5703125" style="12" customWidth="1"/>
    <col min="6924" max="6925" width="0" style="12" hidden="1" customWidth="1"/>
    <col min="6926" max="6926" width="16.85546875" style="12" bestFit="1" customWidth="1"/>
    <col min="6927" max="6927" width="17.42578125" style="12" customWidth="1"/>
    <col min="6928" max="6928" width="14" style="12" bestFit="1" customWidth="1"/>
    <col min="6929" max="6929" width="11.42578125" style="12"/>
    <col min="6930" max="6930" width="14" style="12" bestFit="1" customWidth="1"/>
    <col min="6931" max="7166" width="11.42578125" style="12"/>
    <col min="7167" max="7169" width="0" style="12" hidden="1" customWidth="1"/>
    <col min="7170" max="7170" width="47.7109375" style="12" customWidth="1"/>
    <col min="7171" max="7174" width="20.7109375" style="12" customWidth="1"/>
    <col min="7175" max="7175" width="48.7109375" style="12" customWidth="1"/>
    <col min="7176" max="7178" width="20.7109375" style="12" customWidth="1"/>
    <col min="7179" max="7179" width="20.5703125" style="12" customWidth="1"/>
    <col min="7180" max="7181" width="0" style="12" hidden="1" customWidth="1"/>
    <col min="7182" max="7182" width="16.85546875" style="12" bestFit="1" customWidth="1"/>
    <col min="7183" max="7183" width="17.42578125" style="12" customWidth="1"/>
    <col min="7184" max="7184" width="14" style="12" bestFit="1" customWidth="1"/>
    <col min="7185" max="7185" width="11.42578125" style="12"/>
    <col min="7186" max="7186" width="14" style="12" bestFit="1" customWidth="1"/>
    <col min="7187" max="7422" width="11.42578125" style="12"/>
    <col min="7423" max="7425" width="0" style="12" hidden="1" customWidth="1"/>
    <col min="7426" max="7426" width="47.7109375" style="12" customWidth="1"/>
    <col min="7427" max="7430" width="20.7109375" style="12" customWidth="1"/>
    <col min="7431" max="7431" width="48.7109375" style="12" customWidth="1"/>
    <col min="7432" max="7434" width="20.7109375" style="12" customWidth="1"/>
    <col min="7435" max="7435" width="20.5703125" style="12" customWidth="1"/>
    <col min="7436" max="7437" width="0" style="12" hidden="1" customWidth="1"/>
    <col min="7438" max="7438" width="16.85546875" style="12" bestFit="1" customWidth="1"/>
    <col min="7439" max="7439" width="17.42578125" style="12" customWidth="1"/>
    <col min="7440" max="7440" width="14" style="12" bestFit="1" customWidth="1"/>
    <col min="7441" max="7441" width="11.42578125" style="12"/>
    <col min="7442" max="7442" width="14" style="12" bestFit="1" customWidth="1"/>
    <col min="7443" max="7678" width="11.42578125" style="12"/>
    <col min="7679" max="7681" width="0" style="12" hidden="1" customWidth="1"/>
    <col min="7682" max="7682" width="47.7109375" style="12" customWidth="1"/>
    <col min="7683" max="7686" width="20.7109375" style="12" customWidth="1"/>
    <col min="7687" max="7687" width="48.7109375" style="12" customWidth="1"/>
    <col min="7688" max="7690" width="20.7109375" style="12" customWidth="1"/>
    <col min="7691" max="7691" width="20.5703125" style="12" customWidth="1"/>
    <col min="7692" max="7693" width="0" style="12" hidden="1" customWidth="1"/>
    <col min="7694" max="7694" width="16.85546875" style="12" bestFit="1" customWidth="1"/>
    <col min="7695" max="7695" width="17.42578125" style="12" customWidth="1"/>
    <col min="7696" max="7696" width="14" style="12" bestFit="1" customWidth="1"/>
    <col min="7697" max="7697" width="11.42578125" style="12"/>
    <col min="7698" max="7698" width="14" style="12" bestFit="1" customWidth="1"/>
    <col min="7699" max="7934" width="11.42578125" style="12"/>
    <col min="7935" max="7937" width="0" style="12" hidden="1" customWidth="1"/>
    <col min="7938" max="7938" width="47.7109375" style="12" customWidth="1"/>
    <col min="7939" max="7942" width="20.7109375" style="12" customWidth="1"/>
    <col min="7943" max="7943" width="48.7109375" style="12" customWidth="1"/>
    <col min="7944" max="7946" width="20.7109375" style="12" customWidth="1"/>
    <col min="7947" max="7947" width="20.5703125" style="12" customWidth="1"/>
    <col min="7948" max="7949" width="0" style="12" hidden="1" customWidth="1"/>
    <col min="7950" max="7950" width="16.85546875" style="12" bestFit="1" customWidth="1"/>
    <col min="7951" max="7951" width="17.42578125" style="12" customWidth="1"/>
    <col min="7952" max="7952" width="14" style="12" bestFit="1" customWidth="1"/>
    <col min="7953" max="7953" width="11.42578125" style="12"/>
    <col min="7954" max="7954" width="14" style="12" bestFit="1" customWidth="1"/>
    <col min="7955" max="8190" width="11.42578125" style="12"/>
    <col min="8191" max="8193" width="0" style="12" hidden="1" customWidth="1"/>
    <col min="8194" max="8194" width="47.7109375" style="12" customWidth="1"/>
    <col min="8195" max="8198" width="20.7109375" style="12" customWidth="1"/>
    <col min="8199" max="8199" width="48.7109375" style="12" customWidth="1"/>
    <col min="8200" max="8202" width="20.7109375" style="12" customWidth="1"/>
    <col min="8203" max="8203" width="20.5703125" style="12" customWidth="1"/>
    <col min="8204" max="8205" width="0" style="12" hidden="1" customWidth="1"/>
    <col min="8206" max="8206" width="16.85546875" style="12" bestFit="1" customWidth="1"/>
    <col min="8207" max="8207" width="17.42578125" style="12" customWidth="1"/>
    <col min="8208" max="8208" width="14" style="12" bestFit="1" customWidth="1"/>
    <col min="8209" max="8209" width="11.42578125" style="12"/>
    <col min="8210" max="8210" width="14" style="12" bestFit="1" customWidth="1"/>
    <col min="8211" max="8446" width="11.42578125" style="12"/>
    <col min="8447" max="8449" width="0" style="12" hidden="1" customWidth="1"/>
    <col min="8450" max="8450" width="47.7109375" style="12" customWidth="1"/>
    <col min="8451" max="8454" width="20.7109375" style="12" customWidth="1"/>
    <col min="8455" max="8455" width="48.7109375" style="12" customWidth="1"/>
    <col min="8456" max="8458" width="20.7109375" style="12" customWidth="1"/>
    <col min="8459" max="8459" width="20.5703125" style="12" customWidth="1"/>
    <col min="8460" max="8461" width="0" style="12" hidden="1" customWidth="1"/>
    <col min="8462" max="8462" width="16.85546875" style="12" bestFit="1" customWidth="1"/>
    <col min="8463" max="8463" width="17.42578125" style="12" customWidth="1"/>
    <col min="8464" max="8464" width="14" style="12" bestFit="1" customWidth="1"/>
    <col min="8465" max="8465" width="11.42578125" style="12"/>
    <col min="8466" max="8466" width="14" style="12" bestFit="1" customWidth="1"/>
    <col min="8467" max="8702" width="11.42578125" style="12"/>
    <col min="8703" max="8705" width="0" style="12" hidden="1" customWidth="1"/>
    <col min="8706" max="8706" width="47.7109375" style="12" customWidth="1"/>
    <col min="8707" max="8710" width="20.7109375" style="12" customWidth="1"/>
    <col min="8711" max="8711" width="48.7109375" style="12" customWidth="1"/>
    <col min="8712" max="8714" width="20.7109375" style="12" customWidth="1"/>
    <col min="8715" max="8715" width="20.5703125" style="12" customWidth="1"/>
    <col min="8716" max="8717" width="0" style="12" hidden="1" customWidth="1"/>
    <col min="8718" max="8718" width="16.85546875" style="12" bestFit="1" customWidth="1"/>
    <col min="8719" max="8719" width="17.42578125" style="12" customWidth="1"/>
    <col min="8720" max="8720" width="14" style="12" bestFit="1" customWidth="1"/>
    <col min="8721" max="8721" width="11.42578125" style="12"/>
    <col min="8722" max="8722" width="14" style="12" bestFit="1" customWidth="1"/>
    <col min="8723" max="8958" width="11.42578125" style="12"/>
    <col min="8959" max="8961" width="0" style="12" hidden="1" customWidth="1"/>
    <col min="8962" max="8962" width="47.7109375" style="12" customWidth="1"/>
    <col min="8963" max="8966" width="20.7109375" style="12" customWidth="1"/>
    <col min="8967" max="8967" width="48.7109375" style="12" customWidth="1"/>
    <col min="8968" max="8970" width="20.7109375" style="12" customWidth="1"/>
    <col min="8971" max="8971" width="20.5703125" style="12" customWidth="1"/>
    <col min="8972" max="8973" width="0" style="12" hidden="1" customWidth="1"/>
    <col min="8974" max="8974" width="16.85546875" style="12" bestFit="1" customWidth="1"/>
    <col min="8975" max="8975" width="17.42578125" style="12" customWidth="1"/>
    <col min="8976" max="8976" width="14" style="12" bestFit="1" customWidth="1"/>
    <col min="8977" max="8977" width="11.42578125" style="12"/>
    <col min="8978" max="8978" width="14" style="12" bestFit="1" customWidth="1"/>
    <col min="8979" max="9214" width="11.42578125" style="12"/>
    <col min="9215" max="9217" width="0" style="12" hidden="1" customWidth="1"/>
    <col min="9218" max="9218" width="47.7109375" style="12" customWidth="1"/>
    <col min="9219" max="9222" width="20.7109375" style="12" customWidth="1"/>
    <col min="9223" max="9223" width="48.7109375" style="12" customWidth="1"/>
    <col min="9224" max="9226" width="20.7109375" style="12" customWidth="1"/>
    <col min="9227" max="9227" width="20.5703125" style="12" customWidth="1"/>
    <col min="9228" max="9229" width="0" style="12" hidden="1" customWidth="1"/>
    <col min="9230" max="9230" width="16.85546875" style="12" bestFit="1" customWidth="1"/>
    <col min="9231" max="9231" width="17.42578125" style="12" customWidth="1"/>
    <col min="9232" max="9232" width="14" style="12" bestFit="1" customWidth="1"/>
    <col min="9233" max="9233" width="11.42578125" style="12"/>
    <col min="9234" max="9234" width="14" style="12" bestFit="1" customWidth="1"/>
    <col min="9235" max="9470" width="11.42578125" style="12"/>
    <col min="9471" max="9473" width="0" style="12" hidden="1" customWidth="1"/>
    <col min="9474" max="9474" width="47.7109375" style="12" customWidth="1"/>
    <col min="9475" max="9478" width="20.7109375" style="12" customWidth="1"/>
    <col min="9479" max="9479" width="48.7109375" style="12" customWidth="1"/>
    <col min="9480" max="9482" width="20.7109375" style="12" customWidth="1"/>
    <col min="9483" max="9483" width="20.5703125" style="12" customWidth="1"/>
    <col min="9484" max="9485" width="0" style="12" hidden="1" customWidth="1"/>
    <col min="9486" max="9486" width="16.85546875" style="12" bestFit="1" customWidth="1"/>
    <col min="9487" max="9487" width="17.42578125" style="12" customWidth="1"/>
    <col min="9488" max="9488" width="14" style="12" bestFit="1" customWidth="1"/>
    <col min="9489" max="9489" width="11.42578125" style="12"/>
    <col min="9490" max="9490" width="14" style="12" bestFit="1" customWidth="1"/>
    <col min="9491" max="9726" width="11.42578125" style="12"/>
    <col min="9727" max="9729" width="0" style="12" hidden="1" customWidth="1"/>
    <col min="9730" max="9730" width="47.7109375" style="12" customWidth="1"/>
    <col min="9731" max="9734" width="20.7109375" style="12" customWidth="1"/>
    <col min="9735" max="9735" width="48.7109375" style="12" customWidth="1"/>
    <col min="9736" max="9738" width="20.7109375" style="12" customWidth="1"/>
    <col min="9739" max="9739" width="20.5703125" style="12" customWidth="1"/>
    <col min="9740" max="9741" width="0" style="12" hidden="1" customWidth="1"/>
    <col min="9742" max="9742" width="16.85546875" style="12" bestFit="1" customWidth="1"/>
    <col min="9743" max="9743" width="17.42578125" style="12" customWidth="1"/>
    <col min="9744" max="9744" width="14" style="12" bestFit="1" customWidth="1"/>
    <col min="9745" max="9745" width="11.42578125" style="12"/>
    <col min="9746" max="9746" width="14" style="12" bestFit="1" customWidth="1"/>
    <col min="9747" max="9982" width="11.42578125" style="12"/>
    <col min="9983" max="9985" width="0" style="12" hidden="1" customWidth="1"/>
    <col min="9986" max="9986" width="47.7109375" style="12" customWidth="1"/>
    <col min="9987" max="9990" width="20.7109375" style="12" customWidth="1"/>
    <col min="9991" max="9991" width="48.7109375" style="12" customWidth="1"/>
    <col min="9992" max="9994" width="20.7109375" style="12" customWidth="1"/>
    <col min="9995" max="9995" width="20.5703125" style="12" customWidth="1"/>
    <col min="9996" max="9997" width="0" style="12" hidden="1" customWidth="1"/>
    <col min="9998" max="9998" width="16.85546875" style="12" bestFit="1" customWidth="1"/>
    <col min="9999" max="9999" width="17.42578125" style="12" customWidth="1"/>
    <col min="10000" max="10000" width="14" style="12" bestFit="1" customWidth="1"/>
    <col min="10001" max="10001" width="11.42578125" style="12"/>
    <col min="10002" max="10002" width="14" style="12" bestFit="1" customWidth="1"/>
    <col min="10003" max="10238" width="11.42578125" style="12"/>
    <col min="10239" max="10241" width="0" style="12" hidden="1" customWidth="1"/>
    <col min="10242" max="10242" width="47.7109375" style="12" customWidth="1"/>
    <col min="10243" max="10246" width="20.7109375" style="12" customWidth="1"/>
    <col min="10247" max="10247" width="48.7109375" style="12" customWidth="1"/>
    <col min="10248" max="10250" width="20.7109375" style="12" customWidth="1"/>
    <col min="10251" max="10251" width="20.5703125" style="12" customWidth="1"/>
    <col min="10252" max="10253" width="0" style="12" hidden="1" customWidth="1"/>
    <col min="10254" max="10254" width="16.85546875" style="12" bestFit="1" customWidth="1"/>
    <col min="10255" max="10255" width="17.42578125" style="12" customWidth="1"/>
    <col min="10256" max="10256" width="14" style="12" bestFit="1" customWidth="1"/>
    <col min="10257" max="10257" width="11.42578125" style="12"/>
    <col min="10258" max="10258" width="14" style="12" bestFit="1" customWidth="1"/>
    <col min="10259" max="10494" width="11.42578125" style="12"/>
    <col min="10495" max="10497" width="0" style="12" hidden="1" customWidth="1"/>
    <col min="10498" max="10498" width="47.7109375" style="12" customWidth="1"/>
    <col min="10499" max="10502" width="20.7109375" style="12" customWidth="1"/>
    <col min="10503" max="10503" width="48.7109375" style="12" customWidth="1"/>
    <col min="10504" max="10506" width="20.7109375" style="12" customWidth="1"/>
    <col min="10507" max="10507" width="20.5703125" style="12" customWidth="1"/>
    <col min="10508" max="10509" width="0" style="12" hidden="1" customWidth="1"/>
    <col min="10510" max="10510" width="16.85546875" style="12" bestFit="1" customWidth="1"/>
    <col min="10511" max="10511" width="17.42578125" style="12" customWidth="1"/>
    <col min="10512" max="10512" width="14" style="12" bestFit="1" customWidth="1"/>
    <col min="10513" max="10513" width="11.42578125" style="12"/>
    <col min="10514" max="10514" width="14" style="12" bestFit="1" customWidth="1"/>
    <col min="10515" max="10750" width="11.42578125" style="12"/>
    <col min="10751" max="10753" width="0" style="12" hidden="1" customWidth="1"/>
    <col min="10754" max="10754" width="47.7109375" style="12" customWidth="1"/>
    <col min="10755" max="10758" width="20.7109375" style="12" customWidth="1"/>
    <col min="10759" max="10759" width="48.7109375" style="12" customWidth="1"/>
    <col min="10760" max="10762" width="20.7109375" style="12" customWidth="1"/>
    <col min="10763" max="10763" width="20.5703125" style="12" customWidth="1"/>
    <col min="10764" max="10765" width="0" style="12" hidden="1" customWidth="1"/>
    <col min="10766" max="10766" width="16.85546875" style="12" bestFit="1" customWidth="1"/>
    <col min="10767" max="10767" width="17.42578125" style="12" customWidth="1"/>
    <col min="10768" max="10768" width="14" style="12" bestFit="1" customWidth="1"/>
    <col min="10769" max="10769" width="11.42578125" style="12"/>
    <col min="10770" max="10770" width="14" style="12" bestFit="1" customWidth="1"/>
    <col min="10771" max="11006" width="11.42578125" style="12"/>
    <col min="11007" max="11009" width="0" style="12" hidden="1" customWidth="1"/>
    <col min="11010" max="11010" width="47.7109375" style="12" customWidth="1"/>
    <col min="11011" max="11014" width="20.7109375" style="12" customWidth="1"/>
    <col min="11015" max="11015" width="48.7109375" style="12" customWidth="1"/>
    <col min="11016" max="11018" width="20.7109375" style="12" customWidth="1"/>
    <col min="11019" max="11019" width="20.5703125" style="12" customWidth="1"/>
    <col min="11020" max="11021" width="0" style="12" hidden="1" customWidth="1"/>
    <col min="11022" max="11022" width="16.85546875" style="12" bestFit="1" customWidth="1"/>
    <col min="11023" max="11023" width="17.42578125" style="12" customWidth="1"/>
    <col min="11024" max="11024" width="14" style="12" bestFit="1" customWidth="1"/>
    <col min="11025" max="11025" width="11.42578125" style="12"/>
    <col min="11026" max="11026" width="14" style="12" bestFit="1" customWidth="1"/>
    <col min="11027" max="11262" width="11.42578125" style="12"/>
    <col min="11263" max="11265" width="0" style="12" hidden="1" customWidth="1"/>
    <col min="11266" max="11266" width="47.7109375" style="12" customWidth="1"/>
    <col min="11267" max="11270" width="20.7109375" style="12" customWidth="1"/>
    <col min="11271" max="11271" width="48.7109375" style="12" customWidth="1"/>
    <col min="11272" max="11274" width="20.7109375" style="12" customWidth="1"/>
    <col min="11275" max="11275" width="20.5703125" style="12" customWidth="1"/>
    <col min="11276" max="11277" width="0" style="12" hidden="1" customWidth="1"/>
    <col min="11278" max="11278" width="16.85546875" style="12" bestFit="1" customWidth="1"/>
    <col min="11279" max="11279" width="17.42578125" style="12" customWidth="1"/>
    <col min="11280" max="11280" width="14" style="12" bestFit="1" customWidth="1"/>
    <col min="11281" max="11281" width="11.42578125" style="12"/>
    <col min="11282" max="11282" width="14" style="12" bestFit="1" customWidth="1"/>
    <col min="11283" max="11518" width="11.42578125" style="12"/>
    <col min="11519" max="11521" width="0" style="12" hidden="1" customWidth="1"/>
    <col min="11522" max="11522" width="47.7109375" style="12" customWidth="1"/>
    <col min="11523" max="11526" width="20.7109375" style="12" customWidth="1"/>
    <col min="11527" max="11527" width="48.7109375" style="12" customWidth="1"/>
    <col min="11528" max="11530" width="20.7109375" style="12" customWidth="1"/>
    <col min="11531" max="11531" width="20.5703125" style="12" customWidth="1"/>
    <col min="11532" max="11533" width="0" style="12" hidden="1" customWidth="1"/>
    <col min="11534" max="11534" width="16.85546875" style="12" bestFit="1" customWidth="1"/>
    <col min="11535" max="11535" width="17.42578125" style="12" customWidth="1"/>
    <col min="11536" max="11536" width="14" style="12" bestFit="1" customWidth="1"/>
    <col min="11537" max="11537" width="11.42578125" style="12"/>
    <col min="11538" max="11538" width="14" style="12" bestFit="1" customWidth="1"/>
    <col min="11539" max="11774" width="11.42578125" style="12"/>
    <col min="11775" max="11777" width="0" style="12" hidden="1" customWidth="1"/>
    <col min="11778" max="11778" width="47.7109375" style="12" customWidth="1"/>
    <col min="11779" max="11782" width="20.7109375" style="12" customWidth="1"/>
    <col min="11783" max="11783" width="48.7109375" style="12" customWidth="1"/>
    <col min="11784" max="11786" width="20.7109375" style="12" customWidth="1"/>
    <col min="11787" max="11787" width="20.5703125" style="12" customWidth="1"/>
    <col min="11788" max="11789" width="0" style="12" hidden="1" customWidth="1"/>
    <col min="11790" max="11790" width="16.85546875" style="12" bestFit="1" customWidth="1"/>
    <col min="11791" max="11791" width="17.42578125" style="12" customWidth="1"/>
    <col min="11792" max="11792" width="14" style="12" bestFit="1" customWidth="1"/>
    <col min="11793" max="11793" width="11.42578125" style="12"/>
    <col min="11794" max="11794" width="14" style="12" bestFit="1" customWidth="1"/>
    <col min="11795" max="12030" width="11.42578125" style="12"/>
    <col min="12031" max="12033" width="0" style="12" hidden="1" customWidth="1"/>
    <col min="12034" max="12034" width="47.7109375" style="12" customWidth="1"/>
    <col min="12035" max="12038" width="20.7109375" style="12" customWidth="1"/>
    <col min="12039" max="12039" width="48.7109375" style="12" customWidth="1"/>
    <col min="12040" max="12042" width="20.7109375" style="12" customWidth="1"/>
    <col min="12043" max="12043" width="20.5703125" style="12" customWidth="1"/>
    <col min="12044" max="12045" width="0" style="12" hidden="1" customWidth="1"/>
    <col min="12046" max="12046" width="16.85546875" style="12" bestFit="1" customWidth="1"/>
    <col min="12047" max="12047" width="17.42578125" style="12" customWidth="1"/>
    <col min="12048" max="12048" width="14" style="12" bestFit="1" customWidth="1"/>
    <col min="12049" max="12049" width="11.42578125" style="12"/>
    <col min="12050" max="12050" width="14" style="12" bestFit="1" customWidth="1"/>
    <col min="12051" max="12286" width="11.42578125" style="12"/>
    <col min="12287" max="12289" width="0" style="12" hidden="1" customWidth="1"/>
    <col min="12290" max="12290" width="47.7109375" style="12" customWidth="1"/>
    <col min="12291" max="12294" width="20.7109375" style="12" customWidth="1"/>
    <col min="12295" max="12295" width="48.7109375" style="12" customWidth="1"/>
    <col min="12296" max="12298" width="20.7109375" style="12" customWidth="1"/>
    <col min="12299" max="12299" width="20.5703125" style="12" customWidth="1"/>
    <col min="12300" max="12301" width="0" style="12" hidden="1" customWidth="1"/>
    <col min="12302" max="12302" width="16.85546875" style="12" bestFit="1" customWidth="1"/>
    <col min="12303" max="12303" width="17.42578125" style="12" customWidth="1"/>
    <col min="12304" max="12304" width="14" style="12" bestFit="1" customWidth="1"/>
    <col min="12305" max="12305" width="11.42578125" style="12"/>
    <col min="12306" max="12306" width="14" style="12" bestFit="1" customWidth="1"/>
    <col min="12307" max="12542" width="11.42578125" style="12"/>
    <col min="12543" max="12545" width="0" style="12" hidden="1" customWidth="1"/>
    <col min="12546" max="12546" width="47.7109375" style="12" customWidth="1"/>
    <col min="12547" max="12550" width="20.7109375" style="12" customWidth="1"/>
    <col min="12551" max="12551" width="48.7109375" style="12" customWidth="1"/>
    <col min="12552" max="12554" width="20.7109375" style="12" customWidth="1"/>
    <col min="12555" max="12555" width="20.5703125" style="12" customWidth="1"/>
    <col min="12556" max="12557" width="0" style="12" hidden="1" customWidth="1"/>
    <col min="12558" max="12558" width="16.85546875" style="12" bestFit="1" customWidth="1"/>
    <col min="12559" max="12559" width="17.42578125" style="12" customWidth="1"/>
    <col min="12560" max="12560" width="14" style="12" bestFit="1" customWidth="1"/>
    <col min="12561" max="12561" width="11.42578125" style="12"/>
    <col min="12562" max="12562" width="14" style="12" bestFit="1" customWidth="1"/>
    <col min="12563" max="12798" width="11.42578125" style="12"/>
    <col min="12799" max="12801" width="0" style="12" hidden="1" customWidth="1"/>
    <col min="12802" max="12802" width="47.7109375" style="12" customWidth="1"/>
    <col min="12803" max="12806" width="20.7109375" style="12" customWidth="1"/>
    <col min="12807" max="12807" width="48.7109375" style="12" customWidth="1"/>
    <col min="12808" max="12810" width="20.7109375" style="12" customWidth="1"/>
    <col min="12811" max="12811" width="20.5703125" style="12" customWidth="1"/>
    <col min="12812" max="12813" width="0" style="12" hidden="1" customWidth="1"/>
    <col min="12814" max="12814" width="16.85546875" style="12" bestFit="1" customWidth="1"/>
    <col min="12815" max="12815" width="17.42578125" style="12" customWidth="1"/>
    <col min="12816" max="12816" width="14" style="12" bestFit="1" customWidth="1"/>
    <col min="12817" max="12817" width="11.42578125" style="12"/>
    <col min="12818" max="12818" width="14" style="12" bestFit="1" customWidth="1"/>
    <col min="12819" max="13054" width="11.42578125" style="12"/>
    <col min="13055" max="13057" width="0" style="12" hidden="1" customWidth="1"/>
    <col min="13058" max="13058" width="47.7109375" style="12" customWidth="1"/>
    <col min="13059" max="13062" width="20.7109375" style="12" customWidth="1"/>
    <col min="13063" max="13063" width="48.7109375" style="12" customWidth="1"/>
    <col min="13064" max="13066" width="20.7109375" style="12" customWidth="1"/>
    <col min="13067" max="13067" width="20.5703125" style="12" customWidth="1"/>
    <col min="13068" max="13069" width="0" style="12" hidden="1" customWidth="1"/>
    <col min="13070" max="13070" width="16.85546875" style="12" bestFit="1" customWidth="1"/>
    <col min="13071" max="13071" width="17.42578125" style="12" customWidth="1"/>
    <col min="13072" max="13072" width="14" style="12" bestFit="1" customWidth="1"/>
    <col min="13073" max="13073" width="11.42578125" style="12"/>
    <col min="13074" max="13074" width="14" style="12" bestFit="1" customWidth="1"/>
    <col min="13075" max="13310" width="11.42578125" style="12"/>
    <col min="13311" max="13313" width="0" style="12" hidden="1" customWidth="1"/>
    <col min="13314" max="13314" width="47.7109375" style="12" customWidth="1"/>
    <col min="13315" max="13318" width="20.7109375" style="12" customWidth="1"/>
    <col min="13319" max="13319" width="48.7109375" style="12" customWidth="1"/>
    <col min="13320" max="13322" width="20.7109375" style="12" customWidth="1"/>
    <col min="13323" max="13323" width="20.5703125" style="12" customWidth="1"/>
    <col min="13324" max="13325" width="0" style="12" hidden="1" customWidth="1"/>
    <col min="13326" max="13326" width="16.85546875" style="12" bestFit="1" customWidth="1"/>
    <col min="13327" max="13327" width="17.42578125" style="12" customWidth="1"/>
    <col min="13328" max="13328" width="14" style="12" bestFit="1" customWidth="1"/>
    <col min="13329" max="13329" width="11.42578125" style="12"/>
    <col min="13330" max="13330" width="14" style="12" bestFit="1" customWidth="1"/>
    <col min="13331" max="13566" width="11.42578125" style="12"/>
    <col min="13567" max="13569" width="0" style="12" hidden="1" customWidth="1"/>
    <col min="13570" max="13570" width="47.7109375" style="12" customWidth="1"/>
    <col min="13571" max="13574" width="20.7109375" style="12" customWidth="1"/>
    <col min="13575" max="13575" width="48.7109375" style="12" customWidth="1"/>
    <col min="13576" max="13578" width="20.7109375" style="12" customWidth="1"/>
    <col min="13579" max="13579" width="20.5703125" style="12" customWidth="1"/>
    <col min="13580" max="13581" width="0" style="12" hidden="1" customWidth="1"/>
    <col min="13582" max="13582" width="16.85546875" style="12" bestFit="1" customWidth="1"/>
    <col min="13583" max="13583" width="17.42578125" style="12" customWidth="1"/>
    <col min="13584" max="13584" width="14" style="12" bestFit="1" customWidth="1"/>
    <col min="13585" max="13585" width="11.42578125" style="12"/>
    <col min="13586" max="13586" width="14" style="12" bestFit="1" customWidth="1"/>
    <col min="13587" max="13822" width="11.42578125" style="12"/>
    <col min="13823" max="13825" width="0" style="12" hidden="1" customWidth="1"/>
    <col min="13826" max="13826" width="47.7109375" style="12" customWidth="1"/>
    <col min="13827" max="13830" width="20.7109375" style="12" customWidth="1"/>
    <col min="13831" max="13831" width="48.7109375" style="12" customWidth="1"/>
    <col min="13832" max="13834" width="20.7109375" style="12" customWidth="1"/>
    <col min="13835" max="13835" width="20.5703125" style="12" customWidth="1"/>
    <col min="13836" max="13837" width="0" style="12" hidden="1" customWidth="1"/>
    <col min="13838" max="13838" width="16.85546875" style="12" bestFit="1" customWidth="1"/>
    <col min="13839" max="13839" width="17.42578125" style="12" customWidth="1"/>
    <col min="13840" max="13840" width="14" style="12" bestFit="1" customWidth="1"/>
    <col min="13841" max="13841" width="11.42578125" style="12"/>
    <col min="13842" max="13842" width="14" style="12" bestFit="1" customWidth="1"/>
    <col min="13843" max="14078" width="11.42578125" style="12"/>
    <col min="14079" max="14081" width="0" style="12" hidden="1" customWidth="1"/>
    <col min="14082" max="14082" width="47.7109375" style="12" customWidth="1"/>
    <col min="14083" max="14086" width="20.7109375" style="12" customWidth="1"/>
    <col min="14087" max="14087" width="48.7109375" style="12" customWidth="1"/>
    <col min="14088" max="14090" width="20.7109375" style="12" customWidth="1"/>
    <col min="14091" max="14091" width="20.5703125" style="12" customWidth="1"/>
    <col min="14092" max="14093" width="0" style="12" hidden="1" customWidth="1"/>
    <col min="14094" max="14094" width="16.85546875" style="12" bestFit="1" customWidth="1"/>
    <col min="14095" max="14095" width="17.42578125" style="12" customWidth="1"/>
    <col min="14096" max="14096" width="14" style="12" bestFit="1" customWidth="1"/>
    <col min="14097" max="14097" width="11.42578125" style="12"/>
    <col min="14098" max="14098" width="14" style="12" bestFit="1" customWidth="1"/>
    <col min="14099" max="14334" width="11.42578125" style="12"/>
    <col min="14335" max="14337" width="0" style="12" hidden="1" customWidth="1"/>
    <col min="14338" max="14338" width="47.7109375" style="12" customWidth="1"/>
    <col min="14339" max="14342" width="20.7109375" style="12" customWidth="1"/>
    <col min="14343" max="14343" width="48.7109375" style="12" customWidth="1"/>
    <col min="14344" max="14346" width="20.7109375" style="12" customWidth="1"/>
    <col min="14347" max="14347" width="20.5703125" style="12" customWidth="1"/>
    <col min="14348" max="14349" width="0" style="12" hidden="1" customWidth="1"/>
    <col min="14350" max="14350" width="16.85546875" style="12" bestFit="1" customWidth="1"/>
    <col min="14351" max="14351" width="17.42578125" style="12" customWidth="1"/>
    <col min="14352" max="14352" width="14" style="12" bestFit="1" customWidth="1"/>
    <col min="14353" max="14353" width="11.42578125" style="12"/>
    <col min="14354" max="14354" width="14" style="12" bestFit="1" customWidth="1"/>
    <col min="14355" max="14590" width="11.42578125" style="12"/>
    <col min="14591" max="14593" width="0" style="12" hidden="1" customWidth="1"/>
    <col min="14594" max="14594" width="47.7109375" style="12" customWidth="1"/>
    <col min="14595" max="14598" width="20.7109375" style="12" customWidth="1"/>
    <col min="14599" max="14599" width="48.7109375" style="12" customWidth="1"/>
    <col min="14600" max="14602" width="20.7109375" style="12" customWidth="1"/>
    <col min="14603" max="14603" width="20.5703125" style="12" customWidth="1"/>
    <col min="14604" max="14605" width="0" style="12" hidden="1" customWidth="1"/>
    <col min="14606" max="14606" width="16.85546875" style="12" bestFit="1" customWidth="1"/>
    <col min="14607" max="14607" width="17.42578125" style="12" customWidth="1"/>
    <col min="14608" max="14608" width="14" style="12" bestFit="1" customWidth="1"/>
    <col min="14609" max="14609" width="11.42578125" style="12"/>
    <col min="14610" max="14610" width="14" style="12" bestFit="1" customWidth="1"/>
    <col min="14611" max="14846" width="11.42578125" style="12"/>
    <col min="14847" max="14849" width="0" style="12" hidden="1" customWidth="1"/>
    <col min="14850" max="14850" width="47.7109375" style="12" customWidth="1"/>
    <col min="14851" max="14854" width="20.7109375" style="12" customWidth="1"/>
    <col min="14855" max="14855" width="48.7109375" style="12" customWidth="1"/>
    <col min="14856" max="14858" width="20.7109375" style="12" customWidth="1"/>
    <col min="14859" max="14859" width="20.5703125" style="12" customWidth="1"/>
    <col min="14860" max="14861" width="0" style="12" hidden="1" customWidth="1"/>
    <col min="14862" max="14862" width="16.85546875" style="12" bestFit="1" customWidth="1"/>
    <col min="14863" max="14863" width="17.42578125" style="12" customWidth="1"/>
    <col min="14864" max="14864" width="14" style="12" bestFit="1" customWidth="1"/>
    <col min="14865" max="14865" width="11.42578125" style="12"/>
    <col min="14866" max="14866" width="14" style="12" bestFit="1" customWidth="1"/>
    <col min="14867" max="15102" width="11.42578125" style="12"/>
    <col min="15103" max="15105" width="0" style="12" hidden="1" customWidth="1"/>
    <col min="15106" max="15106" width="47.7109375" style="12" customWidth="1"/>
    <col min="15107" max="15110" width="20.7109375" style="12" customWidth="1"/>
    <col min="15111" max="15111" width="48.7109375" style="12" customWidth="1"/>
    <col min="15112" max="15114" width="20.7109375" style="12" customWidth="1"/>
    <col min="15115" max="15115" width="20.5703125" style="12" customWidth="1"/>
    <col min="15116" max="15117" width="0" style="12" hidden="1" customWidth="1"/>
    <col min="15118" max="15118" width="16.85546875" style="12" bestFit="1" customWidth="1"/>
    <col min="15119" max="15119" width="17.42578125" style="12" customWidth="1"/>
    <col min="15120" max="15120" width="14" style="12" bestFit="1" customWidth="1"/>
    <col min="15121" max="15121" width="11.42578125" style="12"/>
    <col min="15122" max="15122" width="14" style="12" bestFit="1" customWidth="1"/>
    <col min="15123" max="15358" width="11.42578125" style="12"/>
    <col min="15359" max="15361" width="0" style="12" hidden="1" customWidth="1"/>
    <col min="15362" max="15362" width="47.7109375" style="12" customWidth="1"/>
    <col min="15363" max="15366" width="20.7109375" style="12" customWidth="1"/>
    <col min="15367" max="15367" width="48.7109375" style="12" customWidth="1"/>
    <col min="15368" max="15370" width="20.7109375" style="12" customWidth="1"/>
    <col min="15371" max="15371" width="20.5703125" style="12" customWidth="1"/>
    <col min="15372" max="15373" width="0" style="12" hidden="1" customWidth="1"/>
    <col min="15374" max="15374" width="16.85546875" style="12" bestFit="1" customWidth="1"/>
    <col min="15375" max="15375" width="17.42578125" style="12" customWidth="1"/>
    <col min="15376" max="15376" width="14" style="12" bestFit="1" customWidth="1"/>
    <col min="15377" max="15377" width="11.42578125" style="12"/>
    <col min="15378" max="15378" width="14" style="12" bestFit="1" customWidth="1"/>
    <col min="15379" max="15614" width="11.42578125" style="12"/>
    <col min="15615" max="15617" width="0" style="12" hidden="1" customWidth="1"/>
    <col min="15618" max="15618" width="47.7109375" style="12" customWidth="1"/>
    <col min="15619" max="15622" width="20.7109375" style="12" customWidth="1"/>
    <col min="15623" max="15623" width="48.7109375" style="12" customWidth="1"/>
    <col min="15624" max="15626" width="20.7109375" style="12" customWidth="1"/>
    <col min="15627" max="15627" width="20.5703125" style="12" customWidth="1"/>
    <col min="15628" max="15629" width="0" style="12" hidden="1" customWidth="1"/>
    <col min="15630" max="15630" width="16.85546875" style="12" bestFit="1" customWidth="1"/>
    <col min="15631" max="15631" width="17.42578125" style="12" customWidth="1"/>
    <col min="15632" max="15632" width="14" style="12" bestFit="1" customWidth="1"/>
    <col min="15633" max="15633" width="11.42578125" style="12"/>
    <col min="15634" max="15634" width="14" style="12" bestFit="1" customWidth="1"/>
    <col min="15635" max="15870" width="11.42578125" style="12"/>
    <col min="15871" max="15873" width="0" style="12" hidden="1" customWidth="1"/>
    <col min="15874" max="15874" width="47.7109375" style="12" customWidth="1"/>
    <col min="15875" max="15878" width="20.7109375" style="12" customWidth="1"/>
    <col min="15879" max="15879" width="48.7109375" style="12" customWidth="1"/>
    <col min="15880" max="15882" width="20.7109375" style="12" customWidth="1"/>
    <col min="15883" max="15883" width="20.5703125" style="12" customWidth="1"/>
    <col min="15884" max="15885" width="0" style="12" hidden="1" customWidth="1"/>
    <col min="15886" max="15886" width="16.85546875" style="12" bestFit="1" customWidth="1"/>
    <col min="15887" max="15887" width="17.42578125" style="12" customWidth="1"/>
    <col min="15888" max="15888" width="14" style="12" bestFit="1" customWidth="1"/>
    <col min="15889" max="15889" width="11.42578125" style="12"/>
    <col min="15890" max="15890" width="14" style="12" bestFit="1" customWidth="1"/>
    <col min="15891" max="16126" width="11.42578125" style="12"/>
    <col min="16127" max="16129" width="0" style="12" hidden="1" customWidth="1"/>
    <col min="16130" max="16130" width="47.7109375" style="12" customWidth="1"/>
    <col min="16131" max="16134" width="20.7109375" style="12" customWidth="1"/>
    <col min="16135" max="16135" width="48.7109375" style="12" customWidth="1"/>
    <col min="16136" max="16138" width="20.7109375" style="12" customWidth="1"/>
    <col min="16139" max="16139" width="20.5703125" style="12" customWidth="1"/>
    <col min="16140" max="16141" width="0" style="12" hidden="1" customWidth="1"/>
    <col min="16142" max="16142" width="16.85546875" style="12" bestFit="1" customWidth="1"/>
    <col min="16143" max="16143" width="17.42578125" style="12" customWidth="1"/>
    <col min="16144" max="16144" width="14" style="12" bestFit="1" customWidth="1"/>
    <col min="16145" max="16145" width="11.42578125" style="12"/>
    <col min="16146" max="16146" width="14" style="12" bestFit="1" customWidth="1"/>
    <col min="16147" max="16384" width="11.42578125" style="12"/>
  </cols>
  <sheetData>
    <row r="1" spans="2:27" s="1" customFormat="1" x14ac:dyDescent="0.25">
      <c r="B1" s="2"/>
      <c r="C1" s="2"/>
      <c r="L1" s="3"/>
      <c r="M1" s="2"/>
    </row>
    <row r="2" spans="2:27" s="1" customFormat="1" ht="18" customHeight="1" x14ac:dyDescent="0.25">
      <c r="B2" s="2"/>
      <c r="C2" s="2"/>
      <c r="D2" s="4"/>
      <c r="F2" s="5"/>
      <c r="G2" s="6" t="s">
        <v>0</v>
      </c>
      <c r="L2" s="3"/>
      <c r="M2" s="2"/>
    </row>
    <row r="3" spans="2:27" s="1" customFormat="1" ht="18" customHeight="1" x14ac:dyDescent="0.25">
      <c r="B3" s="2"/>
      <c r="C3" s="2"/>
      <c r="D3" s="7"/>
      <c r="E3" s="5"/>
      <c r="F3" s="5"/>
      <c r="H3" s="5"/>
      <c r="J3" s="5"/>
      <c r="L3" s="3"/>
      <c r="M3" s="2"/>
    </row>
    <row r="4" spans="2:27" s="1" customFormat="1" ht="18" customHeight="1" thickBot="1" x14ac:dyDescent="0.3">
      <c r="B4" s="2"/>
      <c r="C4" s="2"/>
      <c r="D4" s="7"/>
      <c r="E4" s="5"/>
      <c r="F4" s="5"/>
      <c r="G4" s="8"/>
      <c r="H4" s="5"/>
      <c r="L4" s="3"/>
      <c r="M4" s="2"/>
    </row>
    <row r="5" spans="2:27" s="1" customFormat="1" ht="18" customHeight="1" thickTop="1" thickBot="1" x14ac:dyDescent="0.3">
      <c r="B5" s="2"/>
      <c r="C5" s="2"/>
      <c r="D5" s="9" t="s">
        <v>1</v>
      </c>
      <c r="E5" s="5"/>
      <c r="F5" s="5"/>
      <c r="G5" s="5"/>
      <c r="H5" s="5"/>
      <c r="I5" s="10"/>
      <c r="J5" s="10"/>
      <c r="K5" s="252" t="s">
        <v>360</v>
      </c>
      <c r="L5" s="3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2:27" ht="16.5" customHeight="1" thickTop="1" x14ac:dyDescent="0.25">
      <c r="D6" s="14" t="s">
        <v>355</v>
      </c>
      <c r="E6" s="15"/>
      <c r="F6" s="15"/>
      <c r="H6" s="16"/>
      <c r="I6" s="14"/>
      <c r="J6" s="14"/>
      <c r="K6" s="1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7" ht="16.5" customHeight="1" x14ac:dyDescent="0.25">
      <c r="D7" s="14" t="s">
        <v>356</v>
      </c>
      <c r="E7" s="15"/>
      <c r="F7" s="15"/>
      <c r="H7" s="16"/>
      <c r="I7" s="14"/>
      <c r="J7" s="14"/>
      <c r="K7" s="1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7" ht="17.25" customHeight="1" x14ac:dyDescent="0.25">
      <c r="D8" s="14" t="s">
        <v>1</v>
      </c>
      <c r="E8" s="15"/>
      <c r="F8" s="15"/>
      <c r="H8" s="16"/>
      <c r="I8" s="14"/>
      <c r="J8" s="14"/>
      <c r="K8" s="1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2:27" ht="12.75" customHeight="1" x14ac:dyDescent="0.25">
      <c r="D9" s="14"/>
      <c r="E9" s="15"/>
      <c r="F9" s="15"/>
      <c r="H9" s="16"/>
      <c r="I9" s="14"/>
      <c r="J9" s="14"/>
      <c r="K9" s="15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7" ht="5.0999999999999996" customHeight="1" thickBot="1" x14ac:dyDescent="0.3">
      <c r="D10" s="14"/>
      <c r="E10" s="15"/>
      <c r="F10" s="15"/>
      <c r="H10" s="16"/>
      <c r="I10" s="14"/>
      <c r="J10" s="14"/>
      <c r="K10" s="1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2:27" ht="15.75" x14ac:dyDescent="0.25">
      <c r="D11" s="363" t="s">
        <v>2</v>
      </c>
      <c r="E11" s="77" t="s">
        <v>4</v>
      </c>
      <c r="F11" s="189" t="s">
        <v>3</v>
      </c>
      <c r="G11" s="18" t="s">
        <v>4</v>
      </c>
      <c r="H11" s="365" t="s">
        <v>6</v>
      </c>
      <c r="I11" s="77" t="s">
        <v>4</v>
      </c>
      <c r="J11" s="189" t="s">
        <v>3</v>
      </c>
      <c r="K11" s="347" t="s">
        <v>4</v>
      </c>
      <c r="L11" s="19" t="s">
        <v>5</v>
      </c>
      <c r="M11" s="366" t="s">
        <v>7</v>
      </c>
    </row>
    <row r="12" spans="2:27" ht="16.5" thickBot="1" x14ac:dyDescent="0.3">
      <c r="D12" s="364"/>
      <c r="E12" s="335">
        <v>43100</v>
      </c>
      <c r="F12" s="20" t="s">
        <v>8</v>
      </c>
      <c r="G12" s="339">
        <v>43465</v>
      </c>
      <c r="H12" s="364"/>
      <c r="I12" s="335">
        <f>E12</f>
        <v>43100</v>
      </c>
      <c r="J12" s="20" t="s">
        <v>8</v>
      </c>
      <c r="K12" s="79">
        <v>43465</v>
      </c>
      <c r="L12" s="22" t="str">
        <f>F12</f>
        <v>CIERRE 2017</v>
      </c>
      <c r="M12" s="366"/>
    </row>
    <row r="13" spans="2:27" ht="14.1" customHeight="1" thickTop="1" x14ac:dyDescent="0.25">
      <c r="B13" s="23" t="s">
        <v>5</v>
      </c>
      <c r="C13" s="367" t="s">
        <v>7</v>
      </c>
      <c r="D13" s="24"/>
      <c r="E13" s="336"/>
      <c r="F13" s="25"/>
      <c r="G13" s="340"/>
      <c r="H13" s="27"/>
      <c r="I13" s="336"/>
      <c r="J13" s="25"/>
      <c r="K13" s="26"/>
      <c r="M13" s="3"/>
    </row>
    <row r="14" spans="2:27" ht="14.1" customHeight="1" x14ac:dyDescent="0.25">
      <c r="B14" s="22" t="str">
        <f>F12</f>
        <v>CIERRE 2017</v>
      </c>
      <c r="C14" s="367"/>
      <c r="D14" s="28" t="s">
        <v>9</v>
      </c>
      <c r="E14" s="337">
        <f>E15+E21+E25+E28+E35</f>
        <v>507391573.51000005</v>
      </c>
      <c r="F14" s="245">
        <f>F15+F21+F25+F28+F35</f>
        <v>431179789.7299999</v>
      </c>
      <c r="G14" s="341">
        <f>G15+G21+G25+G28+G35</f>
        <v>533736271.2299999</v>
      </c>
      <c r="H14" s="29" t="s">
        <v>10</v>
      </c>
      <c r="I14" s="337">
        <f>I15+I30+I35</f>
        <v>352035493.58000004</v>
      </c>
      <c r="J14" s="245">
        <f>J15+J30+J35</f>
        <v>372649746.55000001</v>
      </c>
      <c r="K14" s="348">
        <f>K15+K30+K35</f>
        <v>558738546.91999996</v>
      </c>
      <c r="L14" s="30"/>
      <c r="M14" s="31"/>
    </row>
    <row r="15" spans="2:27" ht="14.1" customHeight="1" x14ac:dyDescent="0.25">
      <c r="B15" s="32" t="e">
        <v>#REF!</v>
      </c>
      <c r="C15" s="33" t="e">
        <v>#REF!</v>
      </c>
      <c r="D15" s="34" t="s">
        <v>11</v>
      </c>
      <c r="E15" s="143">
        <f>SUM(E16:E20)</f>
        <v>237500</v>
      </c>
      <c r="F15" s="35">
        <f>SUM(F16:F20)</f>
        <v>40565.99</v>
      </c>
      <c r="G15" s="342">
        <f>SUM(G16:G20)</f>
        <v>146190.99</v>
      </c>
      <c r="H15" s="37" t="s">
        <v>12</v>
      </c>
      <c r="I15" s="98">
        <f>I16+I19+I20+I23+I26+I27+I28</f>
        <v>131850955.28</v>
      </c>
      <c r="J15" s="36">
        <f>J16+J19+J20+J23+J26+J27+J28</f>
        <v>131264659.75000001</v>
      </c>
      <c r="K15" s="44">
        <f>K16+K19+K20+K23+K26+K27+K28</f>
        <v>151304251.12</v>
      </c>
    </row>
    <row r="16" spans="2:27" ht="14.1" customHeight="1" x14ac:dyDescent="0.25">
      <c r="D16" s="38" t="s">
        <v>13</v>
      </c>
      <c r="E16" s="102"/>
      <c r="F16" s="39"/>
      <c r="G16" s="326"/>
      <c r="H16" s="41" t="s">
        <v>14</v>
      </c>
      <c r="I16" s="98">
        <f>SUM(I17:I18)</f>
        <v>147030160.66</v>
      </c>
      <c r="J16" s="36">
        <f>SUM(J17:J18)</f>
        <v>147030142.5</v>
      </c>
      <c r="K16" s="44">
        <f>SUM(K17:K18)</f>
        <v>147030142.5</v>
      </c>
      <c r="L16" s="42" t="e">
        <v>#REF!</v>
      </c>
      <c r="M16" s="33" t="e">
        <v>#REF!</v>
      </c>
    </row>
    <row r="17" spans="2:27" ht="14.1" customHeight="1" x14ac:dyDescent="0.25">
      <c r="C17" s="2" t="e">
        <f>C18-B18</f>
        <v>#REF!</v>
      </c>
      <c r="D17" s="38" t="s">
        <v>15</v>
      </c>
      <c r="E17" s="102"/>
      <c r="F17" s="39"/>
      <c r="G17" s="326"/>
      <c r="H17" s="43" t="s">
        <v>16</v>
      </c>
      <c r="I17" s="102">
        <v>147030160.66</v>
      </c>
      <c r="J17" s="39">
        <v>147030142.5</v>
      </c>
      <c r="K17" s="40">
        <v>147030142.5</v>
      </c>
      <c r="N17" s="5"/>
    </row>
    <row r="18" spans="2:27" ht="14.1" customHeight="1" x14ac:dyDescent="0.25">
      <c r="B18" s="13">
        <v>0</v>
      </c>
      <c r="C18" s="2" t="e">
        <f>C19-B19</f>
        <v>#REF!</v>
      </c>
      <c r="D18" s="38" t="s">
        <v>17</v>
      </c>
      <c r="E18" s="102"/>
      <c r="F18" s="39"/>
      <c r="G18" s="326"/>
      <c r="H18" s="43" t="s">
        <v>18</v>
      </c>
      <c r="I18" s="102"/>
      <c r="J18" s="39">
        <v>0</v>
      </c>
      <c r="K18" s="40"/>
    </row>
    <row r="19" spans="2:27" ht="14.1" customHeight="1" x14ac:dyDescent="0.25">
      <c r="B19" s="13" t="e">
        <v>#REF!</v>
      </c>
      <c r="C19" s="2">
        <f>F21+F25</f>
        <v>425481969.37</v>
      </c>
      <c r="D19" s="38" t="s">
        <v>19</v>
      </c>
      <c r="E19" s="102">
        <v>237500</v>
      </c>
      <c r="F19" s="39">
        <v>40565.99</v>
      </c>
      <c r="G19" s="326">
        <v>146190.99</v>
      </c>
      <c r="H19" s="41" t="s">
        <v>20</v>
      </c>
      <c r="I19" s="102"/>
      <c r="J19" s="39"/>
      <c r="K19" s="40"/>
    </row>
    <row r="20" spans="2:27" ht="14.1" customHeight="1" x14ac:dyDescent="0.25">
      <c r="D20" s="38" t="s">
        <v>21</v>
      </c>
      <c r="E20" s="102"/>
      <c r="F20" s="39"/>
      <c r="G20" s="326"/>
      <c r="H20" s="41" t="s">
        <v>22</v>
      </c>
      <c r="I20" s="98">
        <f>SUM(I21:I22)</f>
        <v>3884820.05</v>
      </c>
      <c r="J20" s="36">
        <f>SUM(J21:J22)</f>
        <v>3559610.3699999996</v>
      </c>
      <c r="K20" s="44">
        <f>SUM(K21:K22)</f>
        <v>6161067.0580000002</v>
      </c>
    </row>
    <row r="21" spans="2:27" ht="14.1" customHeight="1" x14ac:dyDescent="0.25">
      <c r="B21" s="32" t="e">
        <v>#REF!</v>
      </c>
      <c r="C21" s="33" t="e">
        <v>#REF!</v>
      </c>
      <c r="D21" s="34" t="s">
        <v>23</v>
      </c>
      <c r="E21" s="98">
        <f>SUM(E22:E24)</f>
        <v>21680748.920000002</v>
      </c>
      <c r="F21" s="36">
        <f>SUM(F22:F24)</f>
        <v>21713409.969999999</v>
      </c>
      <c r="G21" s="325">
        <f>SUM(G22:G24)</f>
        <v>23788239.969999999</v>
      </c>
      <c r="H21" s="43" t="s">
        <v>24</v>
      </c>
      <c r="I21" s="102">
        <v>3884301.02</v>
      </c>
      <c r="J21" s="39">
        <v>3559091.34</v>
      </c>
      <c r="K21" s="40">
        <v>6160548.0279999999</v>
      </c>
      <c r="L21" s="45" t="e">
        <f>IF(#REF!&gt;=0.2*#REF!,#REF!,(#REF!+0.1*#REF!))</f>
        <v>#REF!</v>
      </c>
      <c r="M21" s="45" t="e">
        <f>IF(#REF!&gt;=0.2*#REF!,#REF!,(#REF!+0.1*#REF!))</f>
        <v>#REF!</v>
      </c>
    </row>
    <row r="22" spans="2:27" ht="14.1" customHeight="1" x14ac:dyDescent="0.25">
      <c r="D22" s="38" t="s">
        <v>25</v>
      </c>
      <c r="E22" s="102">
        <v>21418248.920000002</v>
      </c>
      <c r="F22" s="39">
        <v>21363165.82</v>
      </c>
      <c r="G22" s="326">
        <v>21831495.82</v>
      </c>
      <c r="H22" s="46" t="s">
        <v>26</v>
      </c>
      <c r="I22" s="102">
        <v>519.03</v>
      </c>
      <c r="J22" s="39">
        <v>519.03</v>
      </c>
      <c r="K22" s="40">
        <v>519.03</v>
      </c>
    </row>
    <row r="23" spans="2:27" ht="14.1" customHeight="1" x14ac:dyDescent="0.25">
      <c r="D23" s="38" t="s">
        <v>27</v>
      </c>
      <c r="E23" s="102">
        <v>262500</v>
      </c>
      <c r="F23" s="39">
        <v>350244.15</v>
      </c>
      <c r="G23" s="326">
        <v>1956744.15</v>
      </c>
      <c r="H23" s="41" t="s">
        <v>28</v>
      </c>
      <c r="I23" s="98">
        <f>SUM(I24:I25)</f>
        <v>-103565516.90000001</v>
      </c>
      <c r="J23" s="36">
        <f>SUM(J24:J25)</f>
        <v>-107539092.73</v>
      </c>
      <c r="K23" s="44">
        <f>SUM(K24:K25)</f>
        <v>-84125982.538000003</v>
      </c>
    </row>
    <row r="24" spans="2:27" ht="14.1" customHeight="1" x14ac:dyDescent="0.25">
      <c r="D24" s="38" t="s">
        <v>29</v>
      </c>
      <c r="E24" s="102"/>
      <c r="F24" s="39"/>
      <c r="G24" s="326"/>
      <c r="H24" s="46" t="s">
        <v>30</v>
      </c>
      <c r="I24" s="102"/>
      <c r="J24" s="39"/>
      <c r="K24" s="40"/>
    </row>
    <row r="25" spans="2:27" ht="14.1" customHeight="1" x14ac:dyDescent="0.25">
      <c r="B25" s="32" t="e">
        <v>#REF!</v>
      </c>
      <c r="C25" s="33" t="e">
        <v>#REF!</v>
      </c>
      <c r="D25" s="34" t="s">
        <v>31</v>
      </c>
      <c r="E25" s="98">
        <f>SUM(E26:E27)</f>
        <v>477532935.59000003</v>
      </c>
      <c r="F25" s="36">
        <f>SUM(F26:F27)</f>
        <v>403768559.39999998</v>
      </c>
      <c r="G25" s="325">
        <f>SUM(G26:G27)</f>
        <v>504694585.89999998</v>
      </c>
      <c r="H25" s="43" t="s">
        <v>32</v>
      </c>
      <c r="I25" s="102">
        <v>-103565516.90000001</v>
      </c>
      <c r="J25" s="39">
        <v>-107539092.73</v>
      </c>
      <c r="K25" s="40">
        <v>-84125982.538000003</v>
      </c>
    </row>
    <row r="26" spans="2:27" ht="14.1" customHeight="1" x14ac:dyDescent="0.25">
      <c r="D26" s="38" t="s">
        <v>33</v>
      </c>
      <c r="E26" s="102">
        <v>82666480.299999997</v>
      </c>
      <c r="F26" s="39">
        <v>105105124.81</v>
      </c>
      <c r="G26" s="326">
        <v>135707096.09</v>
      </c>
      <c r="H26" s="47" t="s">
        <v>34</v>
      </c>
      <c r="I26" s="102">
        <v>62199432.729999997</v>
      </c>
      <c r="J26" s="39">
        <v>62199432.729999997</v>
      </c>
      <c r="K26" s="40">
        <v>62199432.729999997</v>
      </c>
      <c r="N26" s="48"/>
    </row>
    <row r="27" spans="2:27" ht="14.1" customHeight="1" x14ac:dyDescent="0.25">
      <c r="D27" s="38" t="s">
        <v>35</v>
      </c>
      <c r="E27" s="102">
        <v>394866455.29000002</v>
      </c>
      <c r="F27" s="39">
        <v>298663434.58999997</v>
      </c>
      <c r="G27" s="326">
        <v>368987489.81</v>
      </c>
      <c r="H27" s="41" t="s">
        <v>36</v>
      </c>
      <c r="I27" s="98">
        <v>22302058.740000006</v>
      </c>
      <c r="J27" s="36">
        <v>26014566.880000006</v>
      </c>
      <c r="K27" s="44">
        <v>20039591.370000001</v>
      </c>
      <c r="N27" s="5"/>
    </row>
    <row r="28" spans="2:27" ht="14.1" customHeight="1" x14ac:dyDescent="0.25">
      <c r="B28" s="32" t="e">
        <v>#REF!</v>
      </c>
      <c r="C28" s="33" t="e">
        <v>#REF!</v>
      </c>
      <c r="D28" s="34" t="s">
        <v>37</v>
      </c>
      <c r="E28" s="98">
        <f>SUM(E29:E34)</f>
        <v>7940389</v>
      </c>
      <c r="F28" s="36">
        <f>SUM(F29:F34)</f>
        <v>5356189.03</v>
      </c>
      <c r="G28" s="325">
        <f>SUM(G29:G34)</f>
        <v>4856189.03</v>
      </c>
      <c r="H28" s="41" t="s">
        <v>38</v>
      </c>
      <c r="I28" s="102"/>
      <c r="J28" s="39"/>
      <c r="K28" s="40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2:27" ht="14.1" customHeight="1" x14ac:dyDescent="0.25">
      <c r="D29" s="38" t="s">
        <v>39</v>
      </c>
      <c r="E29" s="102"/>
      <c r="F29" s="39"/>
      <c r="G29" s="326"/>
      <c r="H29" s="27"/>
      <c r="I29" s="143"/>
      <c r="J29" s="35"/>
      <c r="K29" s="84"/>
    </row>
    <row r="30" spans="2:27" ht="14.1" customHeight="1" x14ac:dyDescent="0.25">
      <c r="D30" s="38" t="s">
        <v>40</v>
      </c>
      <c r="E30" s="102">
        <v>7935389</v>
      </c>
      <c r="F30" s="39">
        <v>5023027.5</v>
      </c>
      <c r="G30" s="326">
        <v>4023027.5</v>
      </c>
      <c r="H30" s="37" t="s">
        <v>41</v>
      </c>
      <c r="I30" s="98">
        <f>SUM(I31:I33)</f>
        <v>0</v>
      </c>
      <c r="J30" s="36">
        <f>SUM(J31:J33)</f>
        <v>0</v>
      </c>
      <c r="K30" s="44">
        <f>SUM(K31:K33)</f>
        <v>0</v>
      </c>
      <c r="N30" s="5"/>
    </row>
    <row r="31" spans="2:27" ht="14.1" customHeight="1" x14ac:dyDescent="0.25">
      <c r="D31" s="38" t="s">
        <v>42</v>
      </c>
      <c r="E31" s="102"/>
      <c r="F31" s="39"/>
      <c r="G31" s="326"/>
      <c r="H31" s="47" t="s">
        <v>43</v>
      </c>
      <c r="I31" s="102"/>
      <c r="J31" s="39"/>
      <c r="K31" s="40"/>
    </row>
    <row r="32" spans="2:27" ht="14.1" customHeight="1" x14ac:dyDescent="0.25">
      <c r="D32" s="38" t="s">
        <v>44</v>
      </c>
      <c r="E32" s="102"/>
      <c r="F32" s="39"/>
      <c r="G32" s="326"/>
      <c r="H32" s="47" t="s">
        <v>45</v>
      </c>
      <c r="I32" s="102"/>
      <c r="J32" s="39"/>
      <c r="K32" s="40"/>
      <c r="N32" s="5"/>
      <c r="O32" s="5"/>
    </row>
    <row r="33" spans="1:18" ht="14.1" customHeight="1" x14ac:dyDescent="0.25">
      <c r="D33" s="38" t="s">
        <v>46</v>
      </c>
      <c r="E33" s="102"/>
      <c r="F33" s="39"/>
      <c r="G33" s="326"/>
      <c r="H33" s="41" t="s">
        <v>47</v>
      </c>
      <c r="I33" s="102"/>
      <c r="J33" s="39"/>
      <c r="K33" s="40"/>
      <c r="P33" s="5"/>
    </row>
    <row r="34" spans="1:18" ht="14.1" customHeight="1" x14ac:dyDescent="0.25">
      <c r="D34" s="38" t="s">
        <v>48</v>
      </c>
      <c r="E34" s="102">
        <v>5000</v>
      </c>
      <c r="F34" s="39">
        <v>333161.53000000003</v>
      </c>
      <c r="G34" s="326">
        <v>833161.53</v>
      </c>
      <c r="H34" s="27"/>
      <c r="I34" s="143"/>
      <c r="J34" s="35"/>
      <c r="K34" s="84"/>
      <c r="O34" s="49"/>
    </row>
    <row r="35" spans="1:18" ht="14.1" customHeight="1" x14ac:dyDescent="0.25">
      <c r="D35" s="34" t="s">
        <v>49</v>
      </c>
      <c r="E35" s="102"/>
      <c r="F35" s="39">
        <v>301065.34000000003</v>
      </c>
      <c r="G35" s="326">
        <v>251065.34000000003</v>
      </c>
      <c r="H35" s="37" t="s">
        <v>50</v>
      </c>
      <c r="I35" s="98">
        <f>SUM(I36:I38)</f>
        <v>220184538.30000001</v>
      </c>
      <c r="J35" s="36">
        <f>SUM(J36:J38)</f>
        <v>241385086.80000001</v>
      </c>
      <c r="K35" s="44">
        <f>SUM(K36:K38)</f>
        <v>407434295.79999995</v>
      </c>
      <c r="L35" s="42" t="e">
        <v>#REF!</v>
      </c>
      <c r="M35" s="33" t="e">
        <v>#REF!</v>
      </c>
      <c r="N35" s="5"/>
      <c r="O35" s="50"/>
    </row>
    <row r="36" spans="1:18" ht="14.1" customHeight="1" x14ac:dyDescent="0.25">
      <c r="D36" s="51"/>
      <c r="E36" s="143"/>
      <c r="F36" s="35"/>
      <c r="G36" s="342"/>
      <c r="H36" s="47" t="s">
        <v>51</v>
      </c>
      <c r="I36" s="102">
        <v>176184538.30000001</v>
      </c>
      <c r="J36" s="39">
        <v>194496742.39000002</v>
      </c>
      <c r="K36" s="40">
        <f>210354124.39+138456829-100000</f>
        <v>348710953.38999999</v>
      </c>
      <c r="M36" s="3"/>
      <c r="N36" s="5"/>
      <c r="R36" s="5"/>
    </row>
    <row r="37" spans="1:18" ht="14.1" customHeight="1" x14ac:dyDescent="0.25">
      <c r="D37" s="28" t="s">
        <v>52</v>
      </c>
      <c r="E37" s="337">
        <f>E38+E39+E46+E54+E61+E62</f>
        <v>75518709.180000007</v>
      </c>
      <c r="F37" s="245">
        <f>F38+F39+F46+F54+F61+F62</f>
        <v>161006388.69999996</v>
      </c>
      <c r="G37" s="341">
        <f>G38+G39+G46+G54+G61+G62</f>
        <v>101545465.02</v>
      </c>
      <c r="H37" s="47" t="s">
        <v>53</v>
      </c>
      <c r="I37" s="102"/>
      <c r="J37" s="39">
        <v>1314914.1500000001</v>
      </c>
      <c r="K37" s="40">
        <v>1264914.1499999999</v>
      </c>
      <c r="M37" s="3"/>
    </row>
    <row r="38" spans="1:18" ht="14.1" customHeight="1" x14ac:dyDescent="0.25">
      <c r="D38" s="34" t="s">
        <v>54</v>
      </c>
      <c r="E38" s="102"/>
      <c r="F38" s="39"/>
      <c r="G38" s="326"/>
      <c r="H38" s="41" t="s">
        <v>55</v>
      </c>
      <c r="I38" s="102">
        <v>44000000</v>
      </c>
      <c r="J38" s="39">
        <v>45573430.259999998</v>
      </c>
      <c r="K38" s="40">
        <v>57458428.259999998</v>
      </c>
      <c r="N38" s="52"/>
      <c r="O38" s="5"/>
    </row>
    <row r="39" spans="1:18" ht="14.1" customHeight="1" x14ac:dyDescent="0.25">
      <c r="D39" s="53" t="s">
        <v>56</v>
      </c>
      <c r="E39" s="98">
        <f>SUM(E40:E45)</f>
        <v>66231688.020000003</v>
      </c>
      <c r="F39" s="36">
        <f>SUM(F40:F45)</f>
        <v>59458286.269999996</v>
      </c>
      <c r="G39" s="325">
        <f>SUM(G40:G45)</f>
        <v>32998285.270000003</v>
      </c>
      <c r="H39" s="54"/>
      <c r="I39" s="345"/>
      <c r="J39" s="246"/>
      <c r="K39" s="349"/>
      <c r="O39" s="5"/>
      <c r="P39" s="48"/>
    </row>
    <row r="40" spans="1:18" ht="14.1" customHeight="1" x14ac:dyDescent="0.25">
      <c r="D40" s="38" t="s">
        <v>57</v>
      </c>
      <c r="E40" s="102"/>
      <c r="F40" s="39"/>
      <c r="G40" s="326"/>
      <c r="H40" s="29" t="s">
        <v>58</v>
      </c>
      <c r="I40" s="337">
        <f>I41+I46+I51+I52+I53</f>
        <v>148953835.54000002</v>
      </c>
      <c r="J40" s="245">
        <f>J41+J46+J51+J52+J53</f>
        <v>151528995.53999999</v>
      </c>
      <c r="K40" s="348">
        <f>K41+K46+K51+K52+K53</f>
        <v>35801037.68</v>
      </c>
      <c r="O40" s="5"/>
    </row>
    <row r="41" spans="1:18" ht="14.1" customHeight="1" x14ac:dyDescent="0.25">
      <c r="B41" s="368" t="s">
        <v>59</v>
      </c>
      <c r="C41" s="369"/>
      <c r="D41" s="38" t="s">
        <v>60</v>
      </c>
      <c r="E41" s="102">
        <v>39810634.420000002</v>
      </c>
      <c r="F41" s="39">
        <v>45911053.309999995</v>
      </c>
      <c r="G41" s="326">
        <v>30442480.310000002</v>
      </c>
      <c r="H41" s="41" t="s">
        <v>61</v>
      </c>
      <c r="I41" s="98">
        <f>SUM(I42:I45)</f>
        <v>8866514.1099999994</v>
      </c>
      <c r="J41" s="36">
        <f>SUM(J42:J45)</f>
        <v>11446884.49</v>
      </c>
      <c r="K41" s="44">
        <f>SUM(K42:K45)</f>
        <v>8946884.4900000002</v>
      </c>
      <c r="L41" s="55" t="e">
        <v>#REF!</v>
      </c>
      <c r="M41" s="56" t="e">
        <v>#REF!</v>
      </c>
      <c r="O41" s="5"/>
    </row>
    <row r="42" spans="1:18" ht="14.1" customHeight="1" x14ac:dyDescent="0.25">
      <c r="A42" s="12" t="s">
        <v>62</v>
      </c>
      <c r="B42" s="32" t="e">
        <f>(F42+F43)-(#REF!+#REF!)</f>
        <v>#REF!</v>
      </c>
      <c r="C42" s="33" t="e">
        <f>(G42+G43)-(#REF!+#REF!)</f>
        <v>#REF!</v>
      </c>
      <c r="D42" s="38" t="s">
        <v>63</v>
      </c>
      <c r="E42" s="102">
        <v>358368</v>
      </c>
      <c r="F42" s="39">
        <v>133723.76999999999</v>
      </c>
      <c r="G42" s="326">
        <v>133723.76999999999</v>
      </c>
      <c r="H42" s="43" t="s">
        <v>64</v>
      </c>
      <c r="I42" s="102"/>
      <c r="J42" s="39"/>
      <c r="K42" s="40"/>
      <c r="O42" s="5"/>
      <c r="P42" s="48"/>
    </row>
    <row r="43" spans="1:18" ht="14.1" customHeight="1" x14ac:dyDescent="0.25">
      <c r="A43" s="12" t="s">
        <v>65</v>
      </c>
      <c r="B43" s="32">
        <v>-54567.79</v>
      </c>
      <c r="C43" s="33">
        <v>1676544.77</v>
      </c>
      <c r="D43" s="38" t="s">
        <v>66</v>
      </c>
      <c r="E43" s="102">
        <v>26062685.600000001</v>
      </c>
      <c r="F43" s="39">
        <v>13413509.189999999</v>
      </c>
      <c r="G43" s="326">
        <v>2422081.1899999995</v>
      </c>
      <c r="H43" s="43" t="s">
        <v>67</v>
      </c>
      <c r="I43" s="102"/>
      <c r="J43" s="39"/>
      <c r="K43" s="40"/>
      <c r="O43" s="5"/>
    </row>
    <row r="44" spans="1:18" ht="14.1" customHeight="1" x14ac:dyDescent="0.25">
      <c r="D44" s="38" t="s">
        <v>68</v>
      </c>
      <c r="E44" s="102"/>
      <c r="F44" s="39"/>
      <c r="G44" s="326"/>
      <c r="H44" s="43" t="s">
        <v>69</v>
      </c>
      <c r="I44" s="102"/>
      <c r="J44" s="39"/>
      <c r="K44" s="40"/>
      <c r="O44" s="5"/>
      <c r="P44" s="48"/>
    </row>
    <row r="45" spans="1:18" ht="14.1" customHeight="1" x14ac:dyDescent="0.25">
      <c r="D45" s="38" t="s">
        <v>70</v>
      </c>
      <c r="E45" s="102"/>
      <c r="F45" s="39"/>
      <c r="G45" s="326"/>
      <c r="H45" s="43" t="s">
        <v>71</v>
      </c>
      <c r="I45" s="102">
        <v>8866514.1099999994</v>
      </c>
      <c r="J45" s="39">
        <v>11446884.49</v>
      </c>
      <c r="K45" s="40">
        <v>8946884.4900000002</v>
      </c>
      <c r="L45" s="3" t="e">
        <f>J45-#REF!</f>
        <v>#REF!</v>
      </c>
    </row>
    <row r="46" spans="1:18" ht="14.1" customHeight="1" x14ac:dyDescent="0.25">
      <c r="D46" s="53" t="s">
        <v>72</v>
      </c>
      <c r="E46" s="98">
        <f>SUM(E47:E53)</f>
        <v>1275000</v>
      </c>
      <c r="F46" s="36">
        <f>SUM(F47:F53)</f>
        <v>78565003.769999981</v>
      </c>
      <c r="G46" s="325">
        <f>SUM(G47:G53)</f>
        <v>38638152.130000003</v>
      </c>
      <c r="H46" s="41" t="s">
        <v>73</v>
      </c>
      <c r="I46" s="98">
        <f>SUM(I47:I50)</f>
        <v>140087321.43000001</v>
      </c>
      <c r="J46" s="36">
        <f>SUM(J47:J50)</f>
        <v>139478648.32999998</v>
      </c>
      <c r="K46" s="44">
        <f>SUM(K47:K50)</f>
        <v>26230690.470000003</v>
      </c>
      <c r="N46" s="5"/>
    </row>
    <row r="47" spans="1:18" ht="14.1" customHeight="1" x14ac:dyDescent="0.25">
      <c r="D47" s="57" t="s">
        <v>74</v>
      </c>
      <c r="E47" s="102">
        <v>700000</v>
      </c>
      <c r="F47" s="39">
        <v>2416021.85</v>
      </c>
      <c r="G47" s="326">
        <v>2000000</v>
      </c>
      <c r="H47" s="43" t="s">
        <v>75</v>
      </c>
      <c r="I47" s="102">
        <v>139137321.43000001</v>
      </c>
      <c r="J47" s="39">
        <v>138472560.06999999</v>
      </c>
      <c r="K47" s="40">
        <v>25024602.210000001</v>
      </c>
      <c r="N47" s="5"/>
      <c r="O47" s="5"/>
    </row>
    <row r="48" spans="1:18" ht="14.1" customHeight="1" x14ac:dyDescent="0.25">
      <c r="D48" s="57" t="s">
        <v>76</v>
      </c>
      <c r="E48" s="102">
        <v>500000</v>
      </c>
      <c r="F48" s="39">
        <v>75264651.939999998</v>
      </c>
      <c r="G48" s="326">
        <f>20000000+15998152.13</f>
        <v>35998152.130000003</v>
      </c>
      <c r="H48" s="43" t="s">
        <v>77</v>
      </c>
      <c r="I48" s="102"/>
      <c r="J48" s="39"/>
      <c r="K48" s="40"/>
      <c r="N48" s="5"/>
    </row>
    <row r="49" spans="4:15" ht="14.1" customHeight="1" x14ac:dyDescent="0.25">
      <c r="D49" s="57" t="s">
        <v>78</v>
      </c>
      <c r="E49" s="102">
        <v>50000</v>
      </c>
      <c r="F49" s="39">
        <v>760040.56</v>
      </c>
      <c r="G49" s="326">
        <v>500000</v>
      </c>
      <c r="H49" s="43" t="s">
        <v>79</v>
      </c>
      <c r="I49" s="102"/>
      <c r="J49" s="39"/>
      <c r="K49" s="40"/>
      <c r="N49" s="5"/>
    </row>
    <row r="50" spans="4:15" ht="14.1" customHeight="1" x14ac:dyDescent="0.25">
      <c r="D50" s="38" t="s">
        <v>80</v>
      </c>
      <c r="E50" s="102">
        <v>25000</v>
      </c>
      <c r="F50" s="39">
        <v>113613.6</v>
      </c>
      <c r="G50" s="326">
        <v>130000</v>
      </c>
      <c r="H50" s="43" t="s">
        <v>81</v>
      </c>
      <c r="I50" s="102">
        <v>950000</v>
      </c>
      <c r="J50" s="39">
        <v>1006088.26</v>
      </c>
      <c r="K50" s="40">
        <v>1206088.26</v>
      </c>
      <c r="N50" s="5"/>
    </row>
    <row r="51" spans="4:15" ht="14.1" customHeight="1" x14ac:dyDescent="0.25">
      <c r="D51" s="38" t="s">
        <v>82</v>
      </c>
      <c r="E51" s="102"/>
      <c r="F51" s="39">
        <v>10675.82</v>
      </c>
      <c r="G51" s="326">
        <v>10000</v>
      </c>
      <c r="H51" s="41" t="s">
        <v>83</v>
      </c>
      <c r="I51" s="98"/>
      <c r="J51" s="36">
        <v>0</v>
      </c>
      <c r="K51" s="44"/>
      <c r="L51" s="42" t="e">
        <v>#REF!</v>
      </c>
      <c r="M51" s="33" t="e">
        <v>#REF!</v>
      </c>
    </row>
    <row r="52" spans="4:15" ht="14.1" customHeight="1" x14ac:dyDescent="0.25">
      <c r="D52" s="38" t="s">
        <v>84</v>
      </c>
      <c r="E52" s="102"/>
      <c r="F52" s="39"/>
      <c r="G52" s="326"/>
      <c r="H52" s="41" t="s">
        <v>85</v>
      </c>
      <c r="I52" s="102"/>
      <c r="J52" s="39">
        <v>603462.72</v>
      </c>
      <c r="K52" s="40">
        <v>623462.72</v>
      </c>
    </row>
    <row r="53" spans="4:15" ht="14.1" customHeight="1" x14ac:dyDescent="0.25">
      <c r="D53" s="57" t="s">
        <v>86</v>
      </c>
      <c r="E53" s="102"/>
      <c r="F53" s="39"/>
      <c r="G53" s="326"/>
      <c r="H53" s="41" t="s">
        <v>87</v>
      </c>
      <c r="I53" s="102"/>
      <c r="J53" s="39"/>
      <c r="K53" s="40"/>
      <c r="N53" s="48"/>
    </row>
    <row r="54" spans="4:15" ht="14.1" customHeight="1" x14ac:dyDescent="0.25">
      <c r="D54" s="53" t="s">
        <v>88</v>
      </c>
      <c r="E54" s="98">
        <f>SUM(E55:E60)</f>
        <v>140035.82</v>
      </c>
      <c r="F54" s="36">
        <f>SUM(F55:F60)</f>
        <v>140035.82</v>
      </c>
      <c r="G54" s="325">
        <f>SUM(G55:G60)</f>
        <v>140035.82</v>
      </c>
      <c r="H54" s="58"/>
      <c r="I54" s="143"/>
      <c r="J54" s="35"/>
      <c r="K54" s="84"/>
    </row>
    <row r="55" spans="4:15" ht="14.1" customHeight="1" x14ac:dyDescent="0.25">
      <c r="D55" s="38" t="s">
        <v>39</v>
      </c>
      <c r="E55" s="102"/>
      <c r="F55" s="39"/>
      <c r="G55" s="326"/>
      <c r="H55" s="59" t="s">
        <v>89</v>
      </c>
      <c r="I55" s="337">
        <f>I56+I57+I58+I63+I64+I72</f>
        <v>81920953.569999993</v>
      </c>
      <c r="J55" s="245">
        <f>J56+J57+J58+J63+J64+J72</f>
        <v>68007436.340000004</v>
      </c>
      <c r="K55" s="348">
        <f>K56+K57+K58+K63+K64+K72</f>
        <v>40742151.649999999</v>
      </c>
    </row>
    <row r="56" spans="4:15" ht="14.1" customHeight="1" x14ac:dyDescent="0.25">
      <c r="D56" s="38" t="s">
        <v>40</v>
      </c>
      <c r="E56" s="102"/>
      <c r="F56" s="39"/>
      <c r="G56" s="326"/>
      <c r="H56" s="41" t="s">
        <v>90</v>
      </c>
      <c r="I56" s="102"/>
      <c r="J56" s="39"/>
      <c r="K56" s="40"/>
    </row>
    <row r="57" spans="4:15" ht="14.1" customHeight="1" x14ac:dyDescent="0.25">
      <c r="D57" s="38" t="s">
        <v>42</v>
      </c>
      <c r="E57" s="102"/>
      <c r="F57" s="39"/>
      <c r="G57" s="326"/>
      <c r="H57" s="41" t="s">
        <v>91</v>
      </c>
      <c r="I57" s="102">
        <v>1234048</v>
      </c>
      <c r="J57" s="39"/>
      <c r="K57" s="40"/>
      <c r="N57" s="48"/>
    </row>
    <row r="58" spans="4:15" ht="14.1" customHeight="1" x14ac:dyDescent="0.25">
      <c r="D58" s="38" t="s">
        <v>44</v>
      </c>
      <c r="E58" s="102"/>
      <c r="F58" s="39"/>
      <c r="G58" s="326"/>
      <c r="H58" s="41" t="s">
        <v>92</v>
      </c>
      <c r="I58" s="98">
        <f>SUM(I59:I62)</f>
        <v>11523367.57</v>
      </c>
      <c r="J58" s="36">
        <f>SUM(J59:J62)</f>
        <v>11492244.17</v>
      </c>
      <c r="K58" s="44">
        <f>SUM(K59:K62)</f>
        <v>1023549.92</v>
      </c>
    </row>
    <row r="59" spans="4:15" ht="14.1" customHeight="1" x14ac:dyDescent="0.25">
      <c r="D59" s="38" t="s">
        <v>46</v>
      </c>
      <c r="E59" s="102">
        <v>140035.82</v>
      </c>
      <c r="F59" s="39">
        <v>140035.82</v>
      </c>
      <c r="G59" s="326">
        <v>140035.82</v>
      </c>
      <c r="H59" s="43" t="s">
        <v>75</v>
      </c>
      <c r="I59" s="102">
        <v>11523367.57</v>
      </c>
      <c r="J59" s="39">
        <v>11492244.17</v>
      </c>
      <c r="K59" s="40">
        <v>1023549.92</v>
      </c>
      <c r="N59" s="5"/>
    </row>
    <row r="60" spans="4:15" ht="14.1" customHeight="1" x14ac:dyDescent="0.25">
      <c r="D60" s="38" t="s">
        <v>48</v>
      </c>
      <c r="E60" s="102"/>
      <c r="F60" s="39"/>
      <c r="G60" s="326"/>
      <c r="H60" s="43" t="s">
        <v>77</v>
      </c>
      <c r="I60" s="102"/>
      <c r="J60" s="39"/>
      <c r="K60" s="40"/>
    </row>
    <row r="61" spans="4:15" ht="14.1" customHeight="1" x14ac:dyDescent="0.25">
      <c r="D61" s="53" t="s">
        <v>93</v>
      </c>
      <c r="E61" s="98">
        <v>0</v>
      </c>
      <c r="F61" s="36">
        <v>0</v>
      </c>
      <c r="G61" s="325">
        <v>0</v>
      </c>
      <c r="H61" s="43" t="s">
        <v>79</v>
      </c>
      <c r="I61" s="102"/>
      <c r="J61" s="39"/>
      <c r="K61" s="40"/>
      <c r="N61" s="5"/>
    </row>
    <row r="62" spans="4:15" ht="14.1" customHeight="1" x14ac:dyDescent="0.25">
      <c r="D62" s="53" t="s">
        <v>94</v>
      </c>
      <c r="E62" s="98">
        <f>SUM(E63:E64)</f>
        <v>7871985.3399999999</v>
      </c>
      <c r="F62" s="36">
        <f>SUM(F63:F64)</f>
        <v>22843062.84</v>
      </c>
      <c r="G62" s="325">
        <f>SUM(G63:G64)</f>
        <v>29768991.800000001</v>
      </c>
      <c r="H62" s="43" t="s">
        <v>81</v>
      </c>
      <c r="I62" s="102"/>
      <c r="J62" s="39">
        <v>0</v>
      </c>
      <c r="K62" s="40"/>
    </row>
    <row r="63" spans="4:15" ht="14.1" customHeight="1" x14ac:dyDescent="0.25">
      <c r="D63" s="57" t="s">
        <v>95</v>
      </c>
      <c r="E63" s="102">
        <v>7871985.3399999999</v>
      </c>
      <c r="F63" s="39">
        <v>22843062.84</v>
      </c>
      <c r="G63" s="326">
        <f>19834722.46-15730.66+9950000</f>
        <v>29768991.800000001</v>
      </c>
      <c r="H63" s="41" t="s">
        <v>96</v>
      </c>
      <c r="I63" s="102"/>
      <c r="J63" s="39">
        <v>171318.02</v>
      </c>
      <c r="K63" s="40">
        <v>58392.46</v>
      </c>
    </row>
    <row r="64" spans="4:15" ht="14.1" customHeight="1" x14ac:dyDescent="0.25">
      <c r="D64" s="57" t="s">
        <v>97</v>
      </c>
      <c r="E64" s="102"/>
      <c r="F64" s="39"/>
      <c r="G64" s="107"/>
      <c r="H64" s="41" t="s">
        <v>98</v>
      </c>
      <c r="I64" s="98">
        <f>SUM(I65:I71)</f>
        <v>69163538</v>
      </c>
      <c r="J64" s="36">
        <f>SUM(J65:J71)</f>
        <v>51438343.640000001</v>
      </c>
      <c r="K64" s="44">
        <f>SUM(K65:K71)</f>
        <v>38456355.419999994</v>
      </c>
      <c r="N64" s="5"/>
      <c r="O64" s="5"/>
    </row>
    <row r="65" spans="4:15" ht="14.1" customHeight="1" x14ac:dyDescent="0.25">
      <c r="D65" s="60"/>
      <c r="E65" s="166"/>
      <c r="F65" s="61"/>
      <c r="G65" s="167"/>
      <c r="H65" s="43" t="s">
        <v>99</v>
      </c>
      <c r="I65" s="102">
        <v>45312430</v>
      </c>
      <c r="J65" s="39">
        <v>10958337.859999999</v>
      </c>
      <c r="K65" s="40">
        <v>5958337.8599999994</v>
      </c>
      <c r="N65" s="5"/>
    </row>
    <row r="66" spans="4:15" ht="14.1" customHeight="1" x14ac:dyDescent="0.25">
      <c r="D66" s="60"/>
      <c r="E66" s="171"/>
      <c r="F66" s="64"/>
      <c r="G66" s="172"/>
      <c r="H66" s="43" t="s">
        <v>100</v>
      </c>
      <c r="I66" s="102"/>
      <c r="J66" s="39"/>
      <c r="K66" s="40"/>
      <c r="N66" s="5"/>
      <c r="O66" s="5"/>
    </row>
    <row r="67" spans="4:15" ht="14.1" customHeight="1" x14ac:dyDescent="0.25">
      <c r="D67" s="60"/>
      <c r="E67" s="171"/>
      <c r="F67" s="64"/>
      <c r="G67" s="172"/>
      <c r="H67" s="43" t="s">
        <v>101</v>
      </c>
      <c r="I67" s="102">
        <v>19001108</v>
      </c>
      <c r="J67" s="39">
        <v>36424629.399999999</v>
      </c>
      <c r="K67" s="40">
        <v>30330504.27</v>
      </c>
    </row>
    <row r="68" spans="4:15" ht="14.1" customHeight="1" x14ac:dyDescent="0.25">
      <c r="D68" s="60"/>
      <c r="E68" s="171"/>
      <c r="F68" s="64"/>
      <c r="G68" s="172"/>
      <c r="H68" s="43" t="s">
        <v>102</v>
      </c>
      <c r="I68" s="102">
        <v>350000</v>
      </c>
      <c r="J68" s="39">
        <v>537863.09</v>
      </c>
      <c r="K68" s="40">
        <v>150000</v>
      </c>
    </row>
    <row r="69" spans="4:15" ht="14.1" customHeight="1" x14ac:dyDescent="0.25">
      <c r="D69" s="60"/>
      <c r="E69" s="171"/>
      <c r="F69" s="64"/>
      <c r="G69" s="172"/>
      <c r="H69" s="43" t="s">
        <v>103</v>
      </c>
      <c r="I69" s="102"/>
      <c r="J69" s="39"/>
      <c r="K69" s="40"/>
    </row>
    <row r="70" spans="4:15" ht="14.1" customHeight="1" x14ac:dyDescent="0.25">
      <c r="D70" s="60"/>
      <c r="E70" s="171"/>
      <c r="F70" s="64"/>
      <c r="G70" s="172"/>
      <c r="H70" s="43" t="s">
        <v>104</v>
      </c>
      <c r="I70" s="102">
        <v>4500000</v>
      </c>
      <c r="J70" s="39">
        <v>3170397.35</v>
      </c>
      <c r="K70" s="40">
        <v>1670397.35</v>
      </c>
    </row>
    <row r="71" spans="4:15" ht="14.1" customHeight="1" x14ac:dyDescent="0.25">
      <c r="D71" s="60"/>
      <c r="E71" s="171"/>
      <c r="F71" s="64"/>
      <c r="G71" s="172"/>
      <c r="H71" s="43" t="s">
        <v>105</v>
      </c>
      <c r="I71" s="102"/>
      <c r="J71" s="39">
        <v>347115.94</v>
      </c>
      <c r="K71" s="40">
        <v>347115.94</v>
      </c>
    </row>
    <row r="72" spans="4:15" ht="14.1" customHeight="1" x14ac:dyDescent="0.25">
      <c r="D72" s="60"/>
      <c r="E72" s="171"/>
      <c r="F72" s="64"/>
      <c r="G72" s="172"/>
      <c r="H72" s="41" t="s">
        <v>106</v>
      </c>
      <c r="I72" s="102"/>
      <c r="J72" s="39">
        <v>4905530.51</v>
      </c>
      <c r="K72" s="40">
        <v>1203853.8499999999</v>
      </c>
    </row>
    <row r="73" spans="4:15" ht="14.1" customHeight="1" thickBot="1" x14ac:dyDescent="0.3">
      <c r="D73" s="60"/>
      <c r="E73" s="171"/>
      <c r="F73" s="64"/>
      <c r="G73" s="172"/>
      <c r="H73" s="54"/>
      <c r="I73" s="346"/>
      <c r="J73" s="247"/>
      <c r="K73" s="248"/>
    </row>
    <row r="74" spans="4:15" ht="16.5" thickBot="1" x14ac:dyDescent="0.3">
      <c r="D74" s="66" t="s">
        <v>107</v>
      </c>
      <c r="E74" s="338">
        <f>E14+E37</f>
        <v>582910282.69000006</v>
      </c>
      <c r="F74" s="344">
        <f>F14+F37</f>
        <v>592186178.42999983</v>
      </c>
      <c r="G74" s="343">
        <f>G14+G37</f>
        <v>635281736.24999988</v>
      </c>
      <c r="H74" s="67" t="s">
        <v>108</v>
      </c>
      <c r="I74" s="338">
        <f>I14+I40+I55</f>
        <v>582910282.69000006</v>
      </c>
      <c r="J74" s="344">
        <f>J14+J40+J55</f>
        <v>592186178.43000007</v>
      </c>
      <c r="K74" s="350">
        <f>K14+K40+K55</f>
        <v>635281736.24999988</v>
      </c>
    </row>
    <row r="76" spans="4:15" x14ac:dyDescent="0.25">
      <c r="K76" s="72"/>
    </row>
    <row r="78" spans="4:15" x14ac:dyDescent="0.25">
      <c r="G78" s="72"/>
    </row>
    <row r="79" spans="4:15" x14ac:dyDescent="0.25">
      <c r="G79" s="72"/>
    </row>
    <row r="87" spans="4:5" x14ac:dyDescent="0.25">
      <c r="D87" s="71"/>
      <c r="E87" s="71"/>
    </row>
    <row r="91" spans="4:5" x14ac:dyDescent="0.25">
      <c r="D91" s="73"/>
    </row>
    <row r="92" spans="4:5" x14ac:dyDescent="0.25">
      <c r="D92" s="73"/>
    </row>
    <row r="93" spans="4:5" x14ac:dyDescent="0.25">
      <c r="D93" s="73"/>
    </row>
    <row r="94" spans="4:5" x14ac:dyDescent="0.25">
      <c r="D94" s="73"/>
      <c r="E94" s="72"/>
    </row>
    <row r="95" spans="4:5" x14ac:dyDescent="0.25">
      <c r="D95" s="73"/>
      <c r="E95" s="72"/>
    </row>
    <row r="96" spans="4:5" x14ac:dyDescent="0.25">
      <c r="E96" s="72"/>
    </row>
    <row r="97" spans="5:6" x14ac:dyDescent="0.25">
      <c r="E97" s="72"/>
      <c r="F97" s="72"/>
    </row>
    <row r="98" spans="5:6" x14ac:dyDescent="0.25">
      <c r="E98" s="72"/>
    </row>
    <row r="99" spans="5:6" x14ac:dyDescent="0.25">
      <c r="E99" s="72"/>
    </row>
    <row r="100" spans="5:6" x14ac:dyDescent="0.25">
      <c r="E100" s="72"/>
    </row>
    <row r="101" spans="5:6" x14ac:dyDescent="0.25">
      <c r="E101" s="72"/>
    </row>
  </sheetData>
  <mergeCells count="5">
    <mergeCell ref="D11:D12"/>
    <mergeCell ref="H11:H12"/>
    <mergeCell ref="M11:M12"/>
    <mergeCell ref="C13:C14"/>
    <mergeCell ref="B41:C41"/>
  </mergeCells>
  <conditionalFormatting sqref="L35">
    <cfRule type="cellIs" dxfId="104" priority="1" stopIfTrue="1" operator="notEqual">
      <formula>J35+J52</formula>
    </cfRule>
  </conditionalFormatting>
  <conditionalFormatting sqref="L51">
    <cfRule type="cellIs" dxfId="103" priority="2" stopIfTrue="1" operator="notEqual">
      <formula>$J$51+$J$63</formula>
    </cfRule>
  </conditionalFormatting>
  <conditionalFormatting sqref="M51">
    <cfRule type="cellIs" dxfId="102" priority="3" stopIfTrue="1" operator="notEqual">
      <formula>$K$51+$K$63</formula>
    </cfRule>
  </conditionalFormatting>
  <conditionalFormatting sqref="M35">
    <cfRule type="cellIs" dxfId="101" priority="12" stopIfTrue="1" operator="notEqual">
      <formula>$K$35+$K$52</formula>
    </cfRule>
  </conditionalFormatting>
  <conditionalFormatting sqref="L16">
    <cfRule type="cellIs" dxfId="100" priority="15" stopIfTrue="1" operator="notEqual">
      <formula>$J$16</formula>
    </cfRule>
  </conditionalFormatting>
  <conditionalFormatting sqref="M16">
    <cfRule type="cellIs" dxfId="99" priority="16" stopIfTrue="1" operator="notEqual">
      <formula>$K$16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workbookViewId="0">
      <selection activeCell="D80" sqref="D80"/>
    </sheetView>
  </sheetViews>
  <sheetFormatPr baseColWidth="10" defaultRowHeight="15" x14ac:dyDescent="0.25"/>
  <cols>
    <col min="1" max="1" width="16.140625" style="1" customWidth="1"/>
    <col min="2" max="2" width="57.28515625" style="1" customWidth="1"/>
    <col min="3" max="3" width="17.140625" style="1" bestFit="1" customWidth="1"/>
    <col min="4" max="4" width="15.85546875" style="1" bestFit="1" customWidth="1"/>
    <col min="5" max="5" width="16.5703125" style="1" customWidth="1"/>
    <col min="6" max="9" width="20.7109375" style="1" customWidth="1"/>
    <col min="10" max="256" width="11.42578125" style="1"/>
    <col min="257" max="257" width="16.140625" style="1" customWidth="1"/>
    <col min="258" max="258" width="53.7109375" style="1" customWidth="1"/>
    <col min="259" max="265" width="20.7109375" style="1" customWidth="1"/>
    <col min="266" max="512" width="11.42578125" style="1"/>
    <col min="513" max="513" width="16.140625" style="1" customWidth="1"/>
    <col min="514" max="514" width="53.7109375" style="1" customWidth="1"/>
    <col min="515" max="521" width="20.7109375" style="1" customWidth="1"/>
    <col min="522" max="768" width="11.42578125" style="1"/>
    <col min="769" max="769" width="16.140625" style="1" customWidth="1"/>
    <col min="770" max="770" width="53.7109375" style="1" customWidth="1"/>
    <col min="771" max="777" width="20.7109375" style="1" customWidth="1"/>
    <col min="778" max="1024" width="11.42578125" style="1"/>
    <col min="1025" max="1025" width="16.140625" style="1" customWidth="1"/>
    <col min="1026" max="1026" width="53.7109375" style="1" customWidth="1"/>
    <col min="1027" max="1033" width="20.7109375" style="1" customWidth="1"/>
    <col min="1034" max="1280" width="11.42578125" style="1"/>
    <col min="1281" max="1281" width="16.140625" style="1" customWidth="1"/>
    <col min="1282" max="1282" width="53.7109375" style="1" customWidth="1"/>
    <col min="1283" max="1289" width="20.7109375" style="1" customWidth="1"/>
    <col min="1290" max="1536" width="11.42578125" style="1"/>
    <col min="1537" max="1537" width="16.140625" style="1" customWidth="1"/>
    <col min="1538" max="1538" width="53.7109375" style="1" customWidth="1"/>
    <col min="1539" max="1545" width="20.7109375" style="1" customWidth="1"/>
    <col min="1546" max="1792" width="11.42578125" style="1"/>
    <col min="1793" max="1793" width="16.140625" style="1" customWidth="1"/>
    <col min="1794" max="1794" width="53.7109375" style="1" customWidth="1"/>
    <col min="1795" max="1801" width="20.7109375" style="1" customWidth="1"/>
    <col min="1802" max="2048" width="11.42578125" style="1"/>
    <col min="2049" max="2049" width="16.140625" style="1" customWidth="1"/>
    <col min="2050" max="2050" width="53.7109375" style="1" customWidth="1"/>
    <col min="2051" max="2057" width="20.7109375" style="1" customWidth="1"/>
    <col min="2058" max="2304" width="11.42578125" style="1"/>
    <col min="2305" max="2305" width="16.140625" style="1" customWidth="1"/>
    <col min="2306" max="2306" width="53.7109375" style="1" customWidth="1"/>
    <col min="2307" max="2313" width="20.7109375" style="1" customWidth="1"/>
    <col min="2314" max="2560" width="11.42578125" style="1"/>
    <col min="2561" max="2561" width="16.140625" style="1" customWidth="1"/>
    <col min="2562" max="2562" width="53.7109375" style="1" customWidth="1"/>
    <col min="2563" max="2569" width="20.7109375" style="1" customWidth="1"/>
    <col min="2570" max="2816" width="11.42578125" style="1"/>
    <col min="2817" max="2817" width="16.140625" style="1" customWidth="1"/>
    <col min="2818" max="2818" width="53.7109375" style="1" customWidth="1"/>
    <col min="2819" max="2825" width="20.7109375" style="1" customWidth="1"/>
    <col min="2826" max="3072" width="11.42578125" style="1"/>
    <col min="3073" max="3073" width="16.140625" style="1" customWidth="1"/>
    <col min="3074" max="3074" width="53.7109375" style="1" customWidth="1"/>
    <col min="3075" max="3081" width="20.7109375" style="1" customWidth="1"/>
    <col min="3082" max="3328" width="11.42578125" style="1"/>
    <col min="3329" max="3329" width="16.140625" style="1" customWidth="1"/>
    <col min="3330" max="3330" width="53.7109375" style="1" customWidth="1"/>
    <col min="3331" max="3337" width="20.7109375" style="1" customWidth="1"/>
    <col min="3338" max="3584" width="11.42578125" style="1"/>
    <col min="3585" max="3585" width="16.140625" style="1" customWidth="1"/>
    <col min="3586" max="3586" width="53.7109375" style="1" customWidth="1"/>
    <col min="3587" max="3593" width="20.7109375" style="1" customWidth="1"/>
    <col min="3594" max="3840" width="11.42578125" style="1"/>
    <col min="3841" max="3841" width="16.140625" style="1" customWidth="1"/>
    <col min="3842" max="3842" width="53.7109375" style="1" customWidth="1"/>
    <col min="3843" max="3849" width="20.7109375" style="1" customWidth="1"/>
    <col min="3850" max="4096" width="11.42578125" style="1"/>
    <col min="4097" max="4097" width="16.140625" style="1" customWidth="1"/>
    <col min="4098" max="4098" width="53.7109375" style="1" customWidth="1"/>
    <col min="4099" max="4105" width="20.7109375" style="1" customWidth="1"/>
    <col min="4106" max="4352" width="11.42578125" style="1"/>
    <col min="4353" max="4353" width="16.140625" style="1" customWidth="1"/>
    <col min="4354" max="4354" width="53.7109375" style="1" customWidth="1"/>
    <col min="4355" max="4361" width="20.7109375" style="1" customWidth="1"/>
    <col min="4362" max="4608" width="11.42578125" style="1"/>
    <col min="4609" max="4609" width="16.140625" style="1" customWidth="1"/>
    <col min="4610" max="4610" width="53.7109375" style="1" customWidth="1"/>
    <col min="4611" max="4617" width="20.7109375" style="1" customWidth="1"/>
    <col min="4618" max="4864" width="11.42578125" style="1"/>
    <col min="4865" max="4865" width="16.140625" style="1" customWidth="1"/>
    <col min="4866" max="4866" width="53.7109375" style="1" customWidth="1"/>
    <col min="4867" max="4873" width="20.7109375" style="1" customWidth="1"/>
    <col min="4874" max="5120" width="11.42578125" style="1"/>
    <col min="5121" max="5121" width="16.140625" style="1" customWidth="1"/>
    <col min="5122" max="5122" width="53.7109375" style="1" customWidth="1"/>
    <col min="5123" max="5129" width="20.7109375" style="1" customWidth="1"/>
    <col min="5130" max="5376" width="11.42578125" style="1"/>
    <col min="5377" max="5377" width="16.140625" style="1" customWidth="1"/>
    <col min="5378" max="5378" width="53.7109375" style="1" customWidth="1"/>
    <col min="5379" max="5385" width="20.7109375" style="1" customWidth="1"/>
    <col min="5386" max="5632" width="11.42578125" style="1"/>
    <col min="5633" max="5633" width="16.140625" style="1" customWidth="1"/>
    <col min="5634" max="5634" width="53.7109375" style="1" customWidth="1"/>
    <col min="5635" max="5641" width="20.7109375" style="1" customWidth="1"/>
    <col min="5642" max="5888" width="11.42578125" style="1"/>
    <col min="5889" max="5889" width="16.140625" style="1" customWidth="1"/>
    <col min="5890" max="5890" width="53.7109375" style="1" customWidth="1"/>
    <col min="5891" max="5897" width="20.7109375" style="1" customWidth="1"/>
    <col min="5898" max="6144" width="11.42578125" style="1"/>
    <col min="6145" max="6145" width="16.140625" style="1" customWidth="1"/>
    <col min="6146" max="6146" width="53.7109375" style="1" customWidth="1"/>
    <col min="6147" max="6153" width="20.7109375" style="1" customWidth="1"/>
    <col min="6154" max="6400" width="11.42578125" style="1"/>
    <col min="6401" max="6401" width="16.140625" style="1" customWidth="1"/>
    <col min="6402" max="6402" width="53.7109375" style="1" customWidth="1"/>
    <col min="6403" max="6409" width="20.7109375" style="1" customWidth="1"/>
    <col min="6410" max="6656" width="11.42578125" style="1"/>
    <col min="6657" max="6657" width="16.140625" style="1" customWidth="1"/>
    <col min="6658" max="6658" width="53.7109375" style="1" customWidth="1"/>
    <col min="6659" max="6665" width="20.7109375" style="1" customWidth="1"/>
    <col min="6666" max="6912" width="11.42578125" style="1"/>
    <col min="6913" max="6913" width="16.140625" style="1" customWidth="1"/>
    <col min="6914" max="6914" width="53.7109375" style="1" customWidth="1"/>
    <col min="6915" max="6921" width="20.7109375" style="1" customWidth="1"/>
    <col min="6922" max="7168" width="11.42578125" style="1"/>
    <col min="7169" max="7169" width="16.140625" style="1" customWidth="1"/>
    <col min="7170" max="7170" width="53.7109375" style="1" customWidth="1"/>
    <col min="7171" max="7177" width="20.7109375" style="1" customWidth="1"/>
    <col min="7178" max="7424" width="11.42578125" style="1"/>
    <col min="7425" max="7425" width="16.140625" style="1" customWidth="1"/>
    <col min="7426" max="7426" width="53.7109375" style="1" customWidth="1"/>
    <col min="7427" max="7433" width="20.7109375" style="1" customWidth="1"/>
    <col min="7434" max="7680" width="11.42578125" style="1"/>
    <col min="7681" max="7681" width="16.140625" style="1" customWidth="1"/>
    <col min="7682" max="7682" width="53.7109375" style="1" customWidth="1"/>
    <col min="7683" max="7689" width="20.7109375" style="1" customWidth="1"/>
    <col min="7690" max="7936" width="11.42578125" style="1"/>
    <col min="7937" max="7937" width="16.140625" style="1" customWidth="1"/>
    <col min="7938" max="7938" width="53.7109375" style="1" customWidth="1"/>
    <col min="7939" max="7945" width="20.7109375" style="1" customWidth="1"/>
    <col min="7946" max="8192" width="11.42578125" style="1"/>
    <col min="8193" max="8193" width="16.140625" style="1" customWidth="1"/>
    <col min="8194" max="8194" width="53.7109375" style="1" customWidth="1"/>
    <col min="8195" max="8201" width="20.7109375" style="1" customWidth="1"/>
    <col min="8202" max="8448" width="11.42578125" style="1"/>
    <col min="8449" max="8449" width="16.140625" style="1" customWidth="1"/>
    <col min="8450" max="8450" width="53.7109375" style="1" customWidth="1"/>
    <col min="8451" max="8457" width="20.7109375" style="1" customWidth="1"/>
    <col min="8458" max="8704" width="11.42578125" style="1"/>
    <col min="8705" max="8705" width="16.140625" style="1" customWidth="1"/>
    <col min="8706" max="8706" width="53.7109375" style="1" customWidth="1"/>
    <col min="8707" max="8713" width="20.7109375" style="1" customWidth="1"/>
    <col min="8714" max="8960" width="11.42578125" style="1"/>
    <col min="8961" max="8961" width="16.140625" style="1" customWidth="1"/>
    <col min="8962" max="8962" width="53.7109375" style="1" customWidth="1"/>
    <col min="8963" max="8969" width="20.7109375" style="1" customWidth="1"/>
    <col min="8970" max="9216" width="11.42578125" style="1"/>
    <col min="9217" max="9217" width="16.140625" style="1" customWidth="1"/>
    <col min="9218" max="9218" width="53.7109375" style="1" customWidth="1"/>
    <col min="9219" max="9225" width="20.7109375" style="1" customWidth="1"/>
    <col min="9226" max="9472" width="11.42578125" style="1"/>
    <col min="9473" max="9473" width="16.140625" style="1" customWidth="1"/>
    <col min="9474" max="9474" width="53.7109375" style="1" customWidth="1"/>
    <col min="9475" max="9481" width="20.7109375" style="1" customWidth="1"/>
    <col min="9482" max="9728" width="11.42578125" style="1"/>
    <col min="9729" max="9729" width="16.140625" style="1" customWidth="1"/>
    <col min="9730" max="9730" width="53.7109375" style="1" customWidth="1"/>
    <col min="9731" max="9737" width="20.7109375" style="1" customWidth="1"/>
    <col min="9738" max="9984" width="11.42578125" style="1"/>
    <col min="9985" max="9985" width="16.140625" style="1" customWidth="1"/>
    <col min="9986" max="9986" width="53.7109375" style="1" customWidth="1"/>
    <col min="9987" max="9993" width="20.7109375" style="1" customWidth="1"/>
    <col min="9994" max="10240" width="11.42578125" style="1"/>
    <col min="10241" max="10241" width="16.140625" style="1" customWidth="1"/>
    <col min="10242" max="10242" width="53.7109375" style="1" customWidth="1"/>
    <col min="10243" max="10249" width="20.7109375" style="1" customWidth="1"/>
    <col min="10250" max="10496" width="11.42578125" style="1"/>
    <col min="10497" max="10497" width="16.140625" style="1" customWidth="1"/>
    <col min="10498" max="10498" width="53.7109375" style="1" customWidth="1"/>
    <col min="10499" max="10505" width="20.7109375" style="1" customWidth="1"/>
    <col min="10506" max="10752" width="11.42578125" style="1"/>
    <col min="10753" max="10753" width="16.140625" style="1" customWidth="1"/>
    <col min="10754" max="10754" width="53.7109375" style="1" customWidth="1"/>
    <col min="10755" max="10761" width="20.7109375" style="1" customWidth="1"/>
    <col min="10762" max="11008" width="11.42578125" style="1"/>
    <col min="11009" max="11009" width="16.140625" style="1" customWidth="1"/>
    <col min="11010" max="11010" width="53.7109375" style="1" customWidth="1"/>
    <col min="11011" max="11017" width="20.7109375" style="1" customWidth="1"/>
    <col min="11018" max="11264" width="11.42578125" style="1"/>
    <col min="11265" max="11265" width="16.140625" style="1" customWidth="1"/>
    <col min="11266" max="11266" width="53.7109375" style="1" customWidth="1"/>
    <col min="11267" max="11273" width="20.7109375" style="1" customWidth="1"/>
    <col min="11274" max="11520" width="11.42578125" style="1"/>
    <col min="11521" max="11521" width="16.140625" style="1" customWidth="1"/>
    <col min="11522" max="11522" width="53.7109375" style="1" customWidth="1"/>
    <col min="11523" max="11529" width="20.7109375" style="1" customWidth="1"/>
    <col min="11530" max="11776" width="11.42578125" style="1"/>
    <col min="11777" max="11777" width="16.140625" style="1" customWidth="1"/>
    <col min="11778" max="11778" width="53.7109375" style="1" customWidth="1"/>
    <col min="11779" max="11785" width="20.7109375" style="1" customWidth="1"/>
    <col min="11786" max="12032" width="11.42578125" style="1"/>
    <col min="12033" max="12033" width="16.140625" style="1" customWidth="1"/>
    <col min="12034" max="12034" width="53.7109375" style="1" customWidth="1"/>
    <col min="12035" max="12041" width="20.7109375" style="1" customWidth="1"/>
    <col min="12042" max="12288" width="11.42578125" style="1"/>
    <col min="12289" max="12289" width="16.140625" style="1" customWidth="1"/>
    <col min="12290" max="12290" width="53.7109375" style="1" customWidth="1"/>
    <col min="12291" max="12297" width="20.7109375" style="1" customWidth="1"/>
    <col min="12298" max="12544" width="11.42578125" style="1"/>
    <col min="12545" max="12545" width="16.140625" style="1" customWidth="1"/>
    <col min="12546" max="12546" width="53.7109375" style="1" customWidth="1"/>
    <col min="12547" max="12553" width="20.7109375" style="1" customWidth="1"/>
    <col min="12554" max="12800" width="11.42578125" style="1"/>
    <col min="12801" max="12801" width="16.140625" style="1" customWidth="1"/>
    <col min="12802" max="12802" width="53.7109375" style="1" customWidth="1"/>
    <col min="12803" max="12809" width="20.7109375" style="1" customWidth="1"/>
    <col min="12810" max="13056" width="11.42578125" style="1"/>
    <col min="13057" max="13057" width="16.140625" style="1" customWidth="1"/>
    <col min="13058" max="13058" width="53.7109375" style="1" customWidth="1"/>
    <col min="13059" max="13065" width="20.7109375" style="1" customWidth="1"/>
    <col min="13066" max="13312" width="11.42578125" style="1"/>
    <col min="13313" max="13313" width="16.140625" style="1" customWidth="1"/>
    <col min="13314" max="13314" width="53.7109375" style="1" customWidth="1"/>
    <col min="13315" max="13321" width="20.7109375" style="1" customWidth="1"/>
    <col min="13322" max="13568" width="11.42578125" style="1"/>
    <col min="13569" max="13569" width="16.140625" style="1" customWidth="1"/>
    <col min="13570" max="13570" width="53.7109375" style="1" customWidth="1"/>
    <col min="13571" max="13577" width="20.7109375" style="1" customWidth="1"/>
    <col min="13578" max="13824" width="11.42578125" style="1"/>
    <col min="13825" max="13825" width="16.140625" style="1" customWidth="1"/>
    <col min="13826" max="13826" width="53.7109375" style="1" customWidth="1"/>
    <col min="13827" max="13833" width="20.7109375" style="1" customWidth="1"/>
    <col min="13834" max="14080" width="11.42578125" style="1"/>
    <col min="14081" max="14081" width="16.140625" style="1" customWidth="1"/>
    <col min="14082" max="14082" width="53.7109375" style="1" customWidth="1"/>
    <col min="14083" max="14089" width="20.7109375" style="1" customWidth="1"/>
    <col min="14090" max="14336" width="11.42578125" style="1"/>
    <col min="14337" max="14337" width="16.140625" style="1" customWidth="1"/>
    <col min="14338" max="14338" width="53.7109375" style="1" customWidth="1"/>
    <col min="14339" max="14345" width="20.7109375" style="1" customWidth="1"/>
    <col min="14346" max="14592" width="11.42578125" style="1"/>
    <col min="14593" max="14593" width="16.140625" style="1" customWidth="1"/>
    <col min="14594" max="14594" width="53.7109375" style="1" customWidth="1"/>
    <col min="14595" max="14601" width="20.7109375" style="1" customWidth="1"/>
    <col min="14602" max="14848" width="11.42578125" style="1"/>
    <col min="14849" max="14849" width="16.140625" style="1" customWidth="1"/>
    <col min="14850" max="14850" width="53.7109375" style="1" customWidth="1"/>
    <col min="14851" max="14857" width="20.7109375" style="1" customWidth="1"/>
    <col min="14858" max="15104" width="11.42578125" style="1"/>
    <col min="15105" max="15105" width="16.140625" style="1" customWidth="1"/>
    <col min="15106" max="15106" width="53.7109375" style="1" customWidth="1"/>
    <col min="15107" max="15113" width="20.7109375" style="1" customWidth="1"/>
    <col min="15114" max="15360" width="11.42578125" style="1"/>
    <col min="15361" max="15361" width="16.140625" style="1" customWidth="1"/>
    <col min="15362" max="15362" width="53.7109375" style="1" customWidth="1"/>
    <col min="15363" max="15369" width="20.7109375" style="1" customWidth="1"/>
    <col min="15370" max="15616" width="11.42578125" style="1"/>
    <col min="15617" max="15617" width="16.140625" style="1" customWidth="1"/>
    <col min="15618" max="15618" width="53.7109375" style="1" customWidth="1"/>
    <col min="15619" max="15625" width="20.7109375" style="1" customWidth="1"/>
    <col min="15626" max="15872" width="11.42578125" style="1"/>
    <col min="15873" max="15873" width="16.140625" style="1" customWidth="1"/>
    <col min="15874" max="15874" width="53.7109375" style="1" customWidth="1"/>
    <col min="15875" max="15881" width="20.7109375" style="1" customWidth="1"/>
    <col min="15882" max="16128" width="11.42578125" style="1"/>
    <col min="16129" max="16129" width="16.140625" style="1" customWidth="1"/>
    <col min="16130" max="16130" width="53.7109375" style="1" customWidth="1"/>
    <col min="16131" max="16137" width="20.7109375" style="1" customWidth="1"/>
    <col min="16138" max="16384" width="11.42578125" style="1"/>
  </cols>
  <sheetData>
    <row r="1" spans="2:9" ht="15" customHeight="1" x14ac:dyDescent="0.25"/>
    <row r="2" spans="2:9" ht="15" customHeight="1" x14ac:dyDescent="0.25"/>
    <row r="3" spans="2:9" ht="18" x14ac:dyDescent="0.25">
      <c r="B3" s="370" t="s">
        <v>109</v>
      </c>
      <c r="C3" s="370"/>
      <c r="D3" s="370"/>
      <c r="E3" s="370"/>
    </row>
    <row r="4" spans="2:9" ht="16.5" thickBot="1" x14ac:dyDescent="0.3">
      <c r="B4" s="74"/>
      <c r="C4" s="4"/>
      <c r="D4" s="4"/>
    </row>
    <row r="5" spans="2:9" ht="17.25" thickTop="1" thickBot="1" x14ac:dyDescent="0.3">
      <c r="B5" s="9" t="s">
        <v>354</v>
      </c>
      <c r="C5" s="4"/>
      <c r="D5" s="4"/>
      <c r="E5" s="252" t="s">
        <v>358</v>
      </c>
    </row>
    <row r="6" spans="2:9" ht="16.5" thickTop="1" x14ac:dyDescent="0.25">
      <c r="B6" s="9" t="s">
        <v>355</v>
      </c>
      <c r="C6" s="4"/>
      <c r="D6" s="4"/>
    </row>
    <row r="7" spans="2:9" ht="15.75" x14ac:dyDescent="0.25">
      <c r="B7" s="9" t="s">
        <v>356</v>
      </c>
      <c r="C7" s="4"/>
      <c r="D7" s="4"/>
    </row>
    <row r="8" spans="2:9" ht="15.75" x14ac:dyDescent="0.25">
      <c r="B8" s="9" t="s">
        <v>1</v>
      </c>
      <c r="C8" s="4"/>
      <c r="D8" s="75"/>
    </row>
    <row r="9" spans="2:9" ht="16.5" thickBot="1" x14ac:dyDescent="0.3">
      <c r="B9" s="4"/>
      <c r="C9" s="4"/>
      <c r="D9" s="4"/>
      <c r="E9" s="10"/>
    </row>
    <row r="10" spans="2:9" ht="15.75" x14ac:dyDescent="0.25">
      <c r="B10" s="76"/>
      <c r="C10" s="77" t="s">
        <v>4</v>
      </c>
      <c r="D10" s="17" t="str">
        <f>BALANCE!F11</f>
        <v>REAL</v>
      </c>
      <c r="E10" s="18" t="str">
        <f>BALANCE!G11</f>
        <v>PRESUPUESTO</v>
      </c>
      <c r="F10" s="371"/>
      <c r="G10" s="371"/>
      <c r="H10" s="371"/>
      <c r="I10" s="371"/>
    </row>
    <row r="11" spans="2:9" ht="16.5" thickBot="1" x14ac:dyDescent="0.3">
      <c r="B11" s="78"/>
      <c r="C11" s="319">
        <v>43100</v>
      </c>
      <c r="D11" s="21" t="str">
        <f>BALANCE!F12</f>
        <v>CIERRE 2017</v>
      </c>
      <c r="E11" s="322">
        <f>BALANCE!G12</f>
        <v>43465</v>
      </c>
      <c r="F11" s="80"/>
      <c r="G11" s="80"/>
      <c r="H11" s="80"/>
      <c r="I11" s="80"/>
    </row>
    <row r="12" spans="2:9" ht="16.5" thickTop="1" x14ac:dyDescent="0.25">
      <c r="B12" s="81"/>
      <c r="C12" s="141"/>
      <c r="D12" s="82"/>
      <c r="E12" s="323"/>
      <c r="F12" s="10"/>
      <c r="G12" s="10"/>
      <c r="H12" s="10"/>
      <c r="I12" s="10"/>
    </row>
    <row r="13" spans="2:9" ht="15.75" x14ac:dyDescent="0.25">
      <c r="B13" s="83" t="s">
        <v>110</v>
      </c>
      <c r="C13" s="143"/>
      <c r="D13" s="35"/>
      <c r="E13" s="324"/>
      <c r="F13" s="85"/>
      <c r="G13" s="85"/>
      <c r="H13" s="10"/>
      <c r="I13" s="10"/>
    </row>
    <row r="14" spans="2:9" ht="16.5" x14ac:dyDescent="0.25">
      <c r="B14" s="86" t="s">
        <v>111</v>
      </c>
      <c r="C14" s="98">
        <f>C15+C20</f>
        <v>9000000</v>
      </c>
      <c r="D14" s="36">
        <f>D15+D20</f>
        <v>9701473.5999999996</v>
      </c>
      <c r="E14" s="144">
        <f>E15+E20</f>
        <v>11500000</v>
      </c>
      <c r="F14" s="10"/>
      <c r="G14" s="10"/>
      <c r="H14" s="10"/>
      <c r="I14" s="10"/>
    </row>
    <row r="15" spans="2:9" x14ac:dyDescent="0.25">
      <c r="B15" s="87" t="s">
        <v>112</v>
      </c>
      <c r="C15" s="98">
        <f>SUM(C16:C19)</f>
        <v>7500000</v>
      </c>
      <c r="D15" s="36">
        <f>SUM(D16:D19)</f>
        <v>9353727.1199999992</v>
      </c>
      <c r="E15" s="144">
        <f>SUM(E16:E19)</f>
        <v>10500000</v>
      </c>
      <c r="F15" s="85"/>
      <c r="G15" s="10"/>
      <c r="H15" s="10"/>
      <c r="I15" s="10"/>
    </row>
    <row r="16" spans="2:9" x14ac:dyDescent="0.25">
      <c r="B16" s="88" t="s">
        <v>113</v>
      </c>
      <c r="C16" s="102"/>
      <c r="D16" s="39"/>
      <c r="E16" s="107">
        <v>500000</v>
      </c>
      <c r="F16" s="89"/>
      <c r="G16" s="10"/>
      <c r="H16" s="10"/>
      <c r="I16" s="10"/>
    </row>
    <row r="17" spans="1:9" x14ac:dyDescent="0.25">
      <c r="B17" s="88" t="s">
        <v>114</v>
      </c>
      <c r="C17" s="102">
        <v>7500000</v>
      </c>
      <c r="D17" s="39">
        <v>9353727.1199999992</v>
      </c>
      <c r="E17" s="107">
        <v>10000000</v>
      </c>
      <c r="F17" s="10"/>
      <c r="G17" s="10"/>
      <c r="H17" s="10"/>
      <c r="I17" s="10"/>
    </row>
    <row r="18" spans="1:9" x14ac:dyDescent="0.25">
      <c r="B18" s="88" t="s">
        <v>115</v>
      </c>
      <c r="C18" s="102"/>
      <c r="D18" s="39"/>
      <c r="E18" s="107"/>
      <c r="F18" s="10"/>
      <c r="G18" s="10"/>
      <c r="H18" s="10"/>
      <c r="I18" s="10"/>
    </row>
    <row r="19" spans="1:9" x14ac:dyDescent="0.25">
      <c r="B19" s="88" t="s">
        <v>116</v>
      </c>
      <c r="C19" s="102"/>
      <c r="D19" s="39"/>
      <c r="E19" s="107"/>
      <c r="F19" s="90"/>
      <c r="G19" s="90"/>
      <c r="H19" s="90"/>
      <c r="I19" s="10"/>
    </row>
    <row r="20" spans="1:9" x14ac:dyDescent="0.25">
      <c r="B20" s="38" t="s">
        <v>117</v>
      </c>
      <c r="C20" s="98">
        <f>SUM(C21:C24)</f>
        <v>1500000</v>
      </c>
      <c r="D20" s="36">
        <f>SUM(D21:D24)</f>
        <v>347746.47999999992</v>
      </c>
      <c r="E20" s="144">
        <f>SUM(E21:E24)</f>
        <v>1000000</v>
      </c>
      <c r="F20" s="90"/>
      <c r="G20" s="90"/>
      <c r="H20" s="90"/>
      <c r="I20" s="10"/>
    </row>
    <row r="21" spans="1:9" x14ac:dyDescent="0.25">
      <c r="A21" s="91"/>
      <c r="B21" s="88" t="s">
        <v>118</v>
      </c>
      <c r="C21" s="102">
        <v>1500000</v>
      </c>
      <c r="D21" s="39">
        <f>796040.57-448294.09</f>
        <v>347746.47999999992</v>
      </c>
      <c r="E21" s="107">
        <v>1000000</v>
      </c>
      <c r="F21" s="90"/>
      <c r="G21" s="90"/>
      <c r="H21" s="90"/>
      <c r="I21" s="10"/>
    </row>
    <row r="22" spans="1:9" x14ac:dyDescent="0.25">
      <c r="A22" s="91"/>
      <c r="B22" s="88" t="s">
        <v>119</v>
      </c>
      <c r="C22" s="102"/>
      <c r="D22" s="39"/>
      <c r="E22" s="107"/>
      <c r="F22" s="90"/>
      <c r="G22" s="90"/>
      <c r="H22" s="90"/>
      <c r="I22" s="10"/>
    </row>
    <row r="23" spans="1:9" x14ac:dyDescent="0.25">
      <c r="A23" s="91"/>
      <c r="B23" s="88" t="s">
        <v>120</v>
      </c>
      <c r="C23" s="102"/>
      <c r="D23" s="39"/>
      <c r="E23" s="107"/>
      <c r="F23" s="92"/>
      <c r="G23" s="92"/>
      <c r="H23" s="92"/>
    </row>
    <row r="24" spans="1:9" x14ac:dyDescent="0.25">
      <c r="B24" s="88" t="s">
        <v>121</v>
      </c>
      <c r="C24" s="102"/>
      <c r="D24" s="39"/>
      <c r="E24" s="107"/>
      <c r="F24" s="92"/>
      <c r="G24" s="92"/>
      <c r="H24" s="92"/>
    </row>
    <row r="25" spans="1:9" ht="16.5" x14ac:dyDescent="0.25">
      <c r="B25" s="93" t="s">
        <v>122</v>
      </c>
      <c r="C25" s="329"/>
      <c r="D25" s="330">
        <v>1676544.77</v>
      </c>
      <c r="E25" s="331"/>
      <c r="F25" s="92"/>
      <c r="G25" s="92"/>
      <c r="H25" s="92"/>
    </row>
    <row r="26" spans="1:9" ht="16.5" x14ac:dyDescent="0.25">
      <c r="B26" s="93" t="s">
        <v>123</v>
      </c>
      <c r="C26" s="102">
        <v>0</v>
      </c>
      <c r="D26" s="39">
        <v>0</v>
      </c>
      <c r="E26" s="107">
        <v>0</v>
      </c>
      <c r="F26" s="92"/>
      <c r="G26" s="92"/>
      <c r="H26" s="92"/>
    </row>
    <row r="27" spans="1:9" ht="16.5" x14ac:dyDescent="0.25">
      <c r="B27" s="94" t="s">
        <v>124</v>
      </c>
      <c r="C27" s="98">
        <f>SUM(C28:C31)</f>
        <v>-6000000</v>
      </c>
      <c r="D27" s="36">
        <f>SUM(D28:D31)</f>
        <v>-893820.62999999989</v>
      </c>
      <c r="E27" s="144">
        <f>SUM(E28:E31)</f>
        <v>-2365437.5</v>
      </c>
      <c r="F27" s="92"/>
      <c r="G27" s="92"/>
      <c r="H27" s="92"/>
    </row>
    <row r="28" spans="1:9" x14ac:dyDescent="0.25">
      <c r="B28" s="87" t="s">
        <v>125</v>
      </c>
      <c r="C28" s="102"/>
      <c r="D28" s="332">
        <v>-1682900.98</v>
      </c>
      <c r="E28" s="107"/>
      <c r="F28" s="92"/>
      <c r="G28" s="92"/>
      <c r="H28" s="92"/>
    </row>
    <row r="29" spans="1:9" x14ac:dyDescent="0.25">
      <c r="B29" s="95" t="s">
        <v>126</v>
      </c>
      <c r="C29" s="102">
        <v>-4000000</v>
      </c>
      <c r="D29" s="39">
        <v>-1398139.9</v>
      </c>
      <c r="E29" s="107">
        <v>-2365437.5</v>
      </c>
      <c r="F29" s="96"/>
      <c r="G29" s="92"/>
      <c r="H29" s="92"/>
    </row>
    <row r="30" spans="1:9" x14ac:dyDescent="0.25">
      <c r="B30" s="95" t="s">
        <v>127</v>
      </c>
      <c r="C30" s="102"/>
      <c r="D30" s="39"/>
      <c r="E30" s="107"/>
      <c r="F30" s="92"/>
      <c r="G30" s="92"/>
      <c r="H30" s="92"/>
    </row>
    <row r="31" spans="1:9" x14ac:dyDescent="0.25">
      <c r="B31" s="95" t="s">
        <v>128</v>
      </c>
      <c r="C31" s="102">
        <v>-2000000</v>
      </c>
      <c r="D31" s="39">
        <v>2187220.25</v>
      </c>
      <c r="E31" s="107"/>
      <c r="F31" s="92"/>
      <c r="G31" s="92"/>
      <c r="H31" s="92"/>
    </row>
    <row r="32" spans="1:9" ht="16.5" x14ac:dyDescent="0.25">
      <c r="B32" s="97" t="s">
        <v>129</v>
      </c>
      <c r="C32" s="98">
        <f>SUM(C33:C35)</f>
        <v>73230526</v>
      </c>
      <c r="D32" s="36">
        <f>SUM(D33:D35)</f>
        <v>56460507.740000002</v>
      </c>
      <c r="E32" s="144">
        <f>SUM(E33:E35)</f>
        <v>58004059.659999996</v>
      </c>
      <c r="F32" s="92"/>
      <c r="G32" s="92"/>
      <c r="H32" s="92"/>
    </row>
    <row r="33" spans="2:8" x14ac:dyDescent="0.25">
      <c r="B33" s="95" t="s">
        <v>130</v>
      </c>
      <c r="C33" s="102">
        <v>600000</v>
      </c>
      <c r="D33" s="39">
        <v>870201.02</v>
      </c>
      <c r="E33" s="107">
        <v>700000</v>
      </c>
      <c r="F33" s="92"/>
      <c r="G33" s="92"/>
      <c r="H33" s="92"/>
    </row>
    <row r="34" spans="2:8" s="92" customFormat="1" x14ac:dyDescent="0.25">
      <c r="B34" s="95" t="s">
        <v>131</v>
      </c>
      <c r="C34" s="102">
        <v>72230526</v>
      </c>
      <c r="D34" s="39">
        <v>52707880.189999998</v>
      </c>
      <c r="E34" s="107">
        <v>57004059.659999996</v>
      </c>
      <c r="G34" s="99"/>
    </row>
    <row r="35" spans="2:8" x14ac:dyDescent="0.25">
      <c r="B35" s="95" t="s">
        <v>132</v>
      </c>
      <c r="C35" s="102">
        <v>400000</v>
      </c>
      <c r="D35" s="39">
        <v>2882426.53</v>
      </c>
      <c r="E35" s="107">
        <v>300000</v>
      </c>
      <c r="F35" s="99"/>
      <c r="G35" s="92"/>
      <c r="H35" s="92"/>
    </row>
    <row r="36" spans="2:8" ht="16.5" x14ac:dyDescent="0.25">
      <c r="B36" s="100" t="s">
        <v>133</v>
      </c>
      <c r="C36" s="98">
        <f>C37+C38+C39</f>
        <v>-13915350.300000001</v>
      </c>
      <c r="D36" s="36">
        <f>D37+D38+D39</f>
        <v>-13947825.209999999</v>
      </c>
      <c r="E36" s="144">
        <f>E37+E38+E39</f>
        <v>-14567126.299999999</v>
      </c>
      <c r="F36" s="99"/>
      <c r="G36" s="92"/>
      <c r="H36" s="92"/>
    </row>
    <row r="37" spans="2:8" x14ac:dyDescent="0.25">
      <c r="B37" s="95" t="s">
        <v>134</v>
      </c>
      <c r="C37" s="102">
        <v>-10605822.130000001</v>
      </c>
      <c r="D37" s="39">
        <v>-10524560.539999999</v>
      </c>
      <c r="E37" s="107">
        <v>-11190079.539999999</v>
      </c>
      <c r="F37" s="92"/>
      <c r="G37" s="92"/>
      <c r="H37" s="92"/>
    </row>
    <row r="38" spans="2:8" x14ac:dyDescent="0.25">
      <c r="B38" s="95" t="s">
        <v>135</v>
      </c>
      <c r="C38" s="102">
        <v>-3309528.17</v>
      </c>
      <c r="D38" s="39">
        <v>-3423264.67</v>
      </c>
      <c r="E38" s="107">
        <v>-3377046.76</v>
      </c>
      <c r="F38" s="92"/>
      <c r="G38" s="92"/>
      <c r="H38" s="92"/>
    </row>
    <row r="39" spans="2:8" x14ac:dyDescent="0.25">
      <c r="B39" s="95" t="s">
        <v>136</v>
      </c>
      <c r="C39" s="102"/>
      <c r="D39" s="39"/>
      <c r="E39" s="107"/>
      <c r="F39" s="92"/>
      <c r="G39" s="92"/>
      <c r="H39" s="92"/>
    </row>
    <row r="40" spans="2:8" ht="16.5" x14ac:dyDescent="0.25">
      <c r="B40" s="100" t="s">
        <v>137</v>
      </c>
      <c r="C40" s="98">
        <f>SUM(C41:C44)</f>
        <v>-30581326</v>
      </c>
      <c r="D40" s="36">
        <f>SUM(D41:D44)</f>
        <v>-20074802.599999998</v>
      </c>
      <c r="E40" s="144">
        <f>SUM(E41:E44)</f>
        <v>-23990859.489999998</v>
      </c>
      <c r="F40" s="92"/>
      <c r="G40" s="92"/>
      <c r="H40" s="92"/>
    </row>
    <row r="41" spans="2:8" x14ac:dyDescent="0.25">
      <c r="B41" s="95" t="s">
        <v>138</v>
      </c>
      <c r="C41" s="102">
        <v>-22581326</v>
      </c>
      <c r="D41" s="39">
        <v>-12898560.130000001</v>
      </c>
      <c r="E41" s="107">
        <v>-16990859.489999998</v>
      </c>
      <c r="F41" s="92"/>
      <c r="G41" s="92"/>
      <c r="H41" s="92"/>
    </row>
    <row r="42" spans="2:8" x14ac:dyDescent="0.25">
      <c r="B42" s="95" t="s">
        <v>139</v>
      </c>
      <c r="C42" s="102">
        <v>-6000000</v>
      </c>
      <c r="D42" s="39">
        <v>-4021818.98</v>
      </c>
      <c r="E42" s="107">
        <v>-5000000</v>
      </c>
      <c r="F42" s="92"/>
      <c r="G42" s="92"/>
      <c r="H42" s="92"/>
    </row>
    <row r="43" spans="2:8" x14ac:dyDescent="0.25">
      <c r="B43" s="95" t="s">
        <v>140</v>
      </c>
      <c r="C43" s="102">
        <v>-2000000</v>
      </c>
      <c r="D43" s="39">
        <v>-3088621.16</v>
      </c>
      <c r="E43" s="107">
        <v>-2000000</v>
      </c>
      <c r="F43" s="92"/>
      <c r="G43" s="92"/>
      <c r="H43" s="92"/>
    </row>
    <row r="44" spans="2:8" x14ac:dyDescent="0.25">
      <c r="B44" s="95" t="s">
        <v>141</v>
      </c>
      <c r="C44" s="102"/>
      <c r="D44" s="39">
        <v>-65802.33</v>
      </c>
      <c r="E44" s="107"/>
      <c r="F44" s="92"/>
      <c r="G44" s="92"/>
      <c r="H44" s="92"/>
    </row>
    <row r="45" spans="2:8" ht="16.5" x14ac:dyDescent="0.25">
      <c r="B45" s="100" t="s">
        <v>142</v>
      </c>
      <c r="C45" s="98">
        <f>SUM(C46:C48)</f>
        <v>-9225896.0800000001</v>
      </c>
      <c r="D45" s="36">
        <f>SUM(D46:D48)</f>
        <v>-9283928.7699999996</v>
      </c>
      <c r="E45" s="144">
        <f>SUM(E46:E48)</f>
        <v>-9341045</v>
      </c>
      <c r="F45" s="92"/>
      <c r="G45" s="92"/>
      <c r="H45" s="92"/>
    </row>
    <row r="46" spans="2:8" x14ac:dyDescent="0.25">
      <c r="B46" s="95" t="s">
        <v>143</v>
      </c>
      <c r="C46" s="102">
        <v>-12500</v>
      </c>
      <c r="D46" s="39">
        <v>-13393.53</v>
      </c>
      <c r="E46" s="107">
        <v>-59375</v>
      </c>
      <c r="F46" s="92"/>
      <c r="G46" s="92"/>
      <c r="H46" s="92"/>
    </row>
    <row r="47" spans="2:8" x14ac:dyDescent="0.25">
      <c r="B47" s="95" t="s">
        <v>144</v>
      </c>
      <c r="C47" s="102">
        <v>-213396.08</v>
      </c>
      <c r="D47" s="39">
        <v>-237039.41</v>
      </c>
      <c r="E47" s="107">
        <v>-281670</v>
      </c>
      <c r="F47" s="92"/>
      <c r="G47" s="92"/>
      <c r="H47" s="92"/>
    </row>
    <row r="48" spans="2:8" x14ac:dyDescent="0.25">
      <c r="B48" s="95" t="s">
        <v>145</v>
      </c>
      <c r="C48" s="102">
        <v>-9000000</v>
      </c>
      <c r="D48" s="39">
        <v>-9033495.8300000001</v>
      </c>
      <c r="E48" s="107">
        <v>-9000000</v>
      </c>
      <c r="F48" s="92"/>
      <c r="G48" s="92"/>
      <c r="H48" s="92"/>
    </row>
    <row r="49" spans="2:5" ht="16.5" x14ac:dyDescent="0.25">
      <c r="B49" s="100" t="s">
        <v>146</v>
      </c>
      <c r="C49" s="329">
        <v>4500000</v>
      </c>
      <c r="D49" s="330">
        <v>3863165.89</v>
      </c>
      <c r="E49" s="331">
        <v>4500000</v>
      </c>
    </row>
    <row r="50" spans="2:5" ht="16.5" x14ac:dyDescent="0.25">
      <c r="B50" s="100" t="s">
        <v>147</v>
      </c>
      <c r="C50" s="102">
        <v>1000000</v>
      </c>
      <c r="D50" s="39">
        <v>2182786.4300000002</v>
      </c>
      <c r="E50" s="107"/>
    </row>
    <row r="51" spans="2:5" ht="16.5" x14ac:dyDescent="0.25">
      <c r="B51" s="97" t="s">
        <v>148</v>
      </c>
      <c r="C51" s="98">
        <f>SUM(C52:C53)</f>
        <v>0</v>
      </c>
      <c r="D51" s="36">
        <f>SUM(D52:D53)</f>
        <v>288949.23</v>
      </c>
      <c r="E51" s="144">
        <f>SUM(E52:E53)</f>
        <v>0</v>
      </c>
    </row>
    <row r="52" spans="2:5" x14ac:dyDescent="0.25">
      <c r="B52" s="95" t="s">
        <v>149</v>
      </c>
      <c r="C52" s="102"/>
      <c r="D52" s="39"/>
      <c r="E52" s="107"/>
    </row>
    <row r="53" spans="2:5" x14ac:dyDescent="0.25">
      <c r="B53" s="95" t="s">
        <v>150</v>
      </c>
      <c r="C53" s="102">
        <v>0</v>
      </c>
      <c r="D53" s="39">
        <v>288949.23</v>
      </c>
      <c r="E53" s="107"/>
    </row>
    <row r="54" spans="2:5" ht="16.5" x14ac:dyDescent="0.25">
      <c r="B54" s="100" t="s">
        <v>151</v>
      </c>
      <c r="C54" s="152">
        <f>SUM(C55:C56)</f>
        <v>0</v>
      </c>
      <c r="D54" s="61">
        <f>SUM(D55:D56)</f>
        <v>0</v>
      </c>
      <c r="E54" s="167">
        <f>SUM(E55:E56)</f>
        <v>0</v>
      </c>
    </row>
    <row r="55" spans="2:5" x14ac:dyDescent="0.25">
      <c r="B55" s="95" t="s">
        <v>152</v>
      </c>
      <c r="C55" s="102"/>
      <c r="D55" s="39"/>
      <c r="E55" s="107"/>
    </row>
    <row r="56" spans="2:5" x14ac:dyDescent="0.25">
      <c r="B56" s="95" t="s">
        <v>153</v>
      </c>
      <c r="C56" s="102"/>
      <c r="D56" s="39"/>
      <c r="E56" s="107"/>
    </row>
    <row r="57" spans="2:5" ht="16.5" x14ac:dyDescent="0.25">
      <c r="B57" s="103" t="s">
        <v>154</v>
      </c>
      <c r="C57" s="156">
        <f>C14+C25+C26+C27+C32+C36+C40+C45+C49+C50+C51+C54</f>
        <v>28007953.620000005</v>
      </c>
      <c r="D57" s="104">
        <f>D14+D25+D26+D27+D32+D36+D40+D45+D49+D50+D51+D54</f>
        <v>29973050.450000007</v>
      </c>
      <c r="E57" s="157">
        <f>E14+E25+E26+E27+E32+E36+E40+E45+E49+E50+E51+E54</f>
        <v>23739591.370000001</v>
      </c>
    </row>
    <row r="58" spans="2:5" ht="16.5" x14ac:dyDescent="0.25">
      <c r="B58" s="106" t="s">
        <v>155</v>
      </c>
      <c r="C58" s="320">
        <f>C59+C62+C65</f>
        <v>350000</v>
      </c>
      <c r="D58" s="64">
        <f>D59+D62+D65</f>
        <v>276640.07</v>
      </c>
      <c r="E58" s="172">
        <f>E59+E62+E65</f>
        <v>300000</v>
      </c>
    </row>
    <row r="59" spans="2:5" x14ac:dyDescent="0.25">
      <c r="B59" s="57" t="s">
        <v>156</v>
      </c>
      <c r="C59" s="98">
        <f>SUM(C60:C61)</f>
        <v>0</v>
      </c>
      <c r="D59" s="36">
        <f>SUM(D60:D61)</f>
        <v>0</v>
      </c>
      <c r="E59" s="144">
        <f>SUM(E60:E61)</f>
        <v>0</v>
      </c>
    </row>
    <row r="60" spans="2:5" x14ac:dyDescent="0.25">
      <c r="B60" s="57" t="s">
        <v>157</v>
      </c>
      <c r="C60" s="102"/>
      <c r="D60" s="39"/>
      <c r="E60" s="107"/>
    </row>
    <row r="61" spans="2:5" x14ac:dyDescent="0.25">
      <c r="B61" s="57" t="s">
        <v>158</v>
      </c>
      <c r="C61" s="102"/>
      <c r="D61" s="39"/>
      <c r="E61" s="107"/>
    </row>
    <row r="62" spans="2:5" x14ac:dyDescent="0.25">
      <c r="B62" s="57" t="s">
        <v>159</v>
      </c>
      <c r="C62" s="98">
        <f>SUM(C63:C64)</f>
        <v>350000</v>
      </c>
      <c r="D62" s="36">
        <f>SUM(D63:D64)</f>
        <v>276640.07</v>
      </c>
      <c r="E62" s="144">
        <f>SUM(E63:E64)</f>
        <v>300000</v>
      </c>
    </row>
    <row r="63" spans="2:5" x14ac:dyDescent="0.25">
      <c r="B63" s="57" t="s">
        <v>160</v>
      </c>
      <c r="C63" s="102"/>
      <c r="D63" s="39"/>
      <c r="E63" s="107"/>
    </row>
    <row r="64" spans="2:5" x14ac:dyDescent="0.25">
      <c r="B64" s="57" t="s">
        <v>161</v>
      </c>
      <c r="C64" s="102">
        <v>350000</v>
      </c>
      <c r="D64" s="39">
        <v>276640.07</v>
      </c>
      <c r="E64" s="107">
        <v>300000</v>
      </c>
    </row>
    <row r="65" spans="2:7" x14ac:dyDescent="0.25">
      <c r="B65" s="57" t="s">
        <v>162</v>
      </c>
      <c r="C65" s="102"/>
      <c r="D65" s="39"/>
      <c r="E65" s="107"/>
    </row>
    <row r="66" spans="2:7" ht="16.5" x14ac:dyDescent="0.25">
      <c r="B66" s="97" t="s">
        <v>163</v>
      </c>
      <c r="C66" s="320">
        <f>SUM(C67:C69)</f>
        <v>-6000000</v>
      </c>
      <c r="D66" s="64">
        <f>SUM(D67:D69)</f>
        <v>-3932726.26</v>
      </c>
      <c r="E66" s="172">
        <f>SUM(E67:E69)</f>
        <v>-4000000</v>
      </c>
    </row>
    <row r="67" spans="2:7" x14ac:dyDescent="0.25">
      <c r="B67" s="57" t="s">
        <v>164</v>
      </c>
      <c r="C67" s="102"/>
      <c r="D67" s="39"/>
      <c r="E67" s="107"/>
    </row>
    <row r="68" spans="2:7" x14ac:dyDescent="0.25">
      <c r="B68" s="57" t="s">
        <v>165</v>
      </c>
      <c r="C68" s="102">
        <v>-6000000</v>
      </c>
      <c r="D68" s="39">
        <v>-3932726.26</v>
      </c>
      <c r="E68" s="107">
        <v>-4000000</v>
      </c>
    </row>
    <row r="69" spans="2:7" x14ac:dyDescent="0.25">
      <c r="B69" s="57" t="s">
        <v>166</v>
      </c>
      <c r="C69" s="102"/>
      <c r="D69" s="39"/>
      <c r="E69" s="107"/>
    </row>
    <row r="70" spans="2:7" ht="16.5" x14ac:dyDescent="0.25">
      <c r="B70" s="97" t="s">
        <v>167</v>
      </c>
      <c r="C70" s="320">
        <f>SUM(C71:C72)</f>
        <v>0</v>
      </c>
      <c r="D70" s="64">
        <f>SUM(D71:D72)</f>
        <v>0</v>
      </c>
      <c r="E70" s="172">
        <f>SUM(E71:E72)</f>
        <v>0</v>
      </c>
    </row>
    <row r="71" spans="2:7" x14ac:dyDescent="0.25">
      <c r="B71" s="57" t="s">
        <v>168</v>
      </c>
      <c r="C71" s="102"/>
      <c r="D71" s="39"/>
      <c r="E71" s="107"/>
    </row>
    <row r="72" spans="2:7" x14ac:dyDescent="0.25">
      <c r="B72" s="57" t="s">
        <v>169</v>
      </c>
      <c r="C72" s="102"/>
      <c r="D72" s="39"/>
      <c r="E72" s="107"/>
    </row>
    <row r="73" spans="2:7" ht="16.5" x14ac:dyDescent="0.25">
      <c r="B73" s="97" t="s">
        <v>170</v>
      </c>
      <c r="C73" s="102"/>
      <c r="D73" s="39"/>
      <c r="E73" s="107"/>
    </row>
    <row r="74" spans="2:7" ht="16.5" x14ac:dyDescent="0.25">
      <c r="B74" s="100" t="s">
        <v>171</v>
      </c>
      <c r="C74" s="98">
        <f>SUM(C75:C76)</f>
        <v>0</v>
      </c>
      <c r="D74" s="36">
        <f>SUM(D75:D76)</f>
        <v>0</v>
      </c>
      <c r="E74" s="144">
        <f>SUM(E75:E76)</f>
        <v>0</v>
      </c>
    </row>
    <row r="75" spans="2:7" x14ac:dyDescent="0.25">
      <c r="B75" s="95" t="s">
        <v>149</v>
      </c>
      <c r="C75" s="102"/>
      <c r="D75" s="39"/>
      <c r="E75" s="107"/>
    </row>
    <row r="76" spans="2:7" x14ac:dyDescent="0.25">
      <c r="B76" s="95" t="s">
        <v>172</v>
      </c>
      <c r="C76" s="321"/>
      <c r="D76" s="108"/>
      <c r="E76" s="333"/>
    </row>
    <row r="77" spans="2:7" ht="16.5" x14ac:dyDescent="0.25">
      <c r="B77" s="109" t="s">
        <v>173</v>
      </c>
      <c r="C77" s="156">
        <f>C58+C66+C70+C73+C74</f>
        <v>-5650000</v>
      </c>
      <c r="D77" s="104">
        <f>D58+D66+D70+D73+D74</f>
        <v>-3656086.19</v>
      </c>
      <c r="E77" s="157">
        <f>E58+E66+E70+E73+E74</f>
        <v>-3700000</v>
      </c>
    </row>
    <row r="78" spans="2:7" ht="16.5" x14ac:dyDescent="0.25">
      <c r="B78" s="109" t="s">
        <v>174</v>
      </c>
      <c r="C78" s="156">
        <f>C57+C77</f>
        <v>22357953.620000005</v>
      </c>
      <c r="D78" s="104">
        <f>D57+D77</f>
        <v>26316964.260000005</v>
      </c>
      <c r="E78" s="157">
        <f>E57+E77</f>
        <v>20039591.370000001</v>
      </c>
    </row>
    <row r="79" spans="2:7" ht="16.5" x14ac:dyDescent="0.25">
      <c r="B79" s="97" t="s">
        <v>175</v>
      </c>
      <c r="C79" s="321">
        <v>-55894.879999999997</v>
      </c>
      <c r="D79" s="108">
        <v>-302397.38</v>
      </c>
      <c r="E79" s="333"/>
      <c r="F79" s="110"/>
      <c r="G79" s="110"/>
    </row>
    <row r="80" spans="2:7" ht="16.5" x14ac:dyDescent="0.25">
      <c r="B80" s="109" t="s">
        <v>176</v>
      </c>
      <c r="C80" s="156">
        <f>C78+C79</f>
        <v>22302058.740000006</v>
      </c>
      <c r="D80" s="104">
        <f>D78+D79</f>
        <v>26014566.880000006</v>
      </c>
      <c r="E80" s="157">
        <f>E78+E79</f>
        <v>20039591.370000001</v>
      </c>
    </row>
    <row r="81" spans="2:5" ht="16.5" x14ac:dyDescent="0.25">
      <c r="B81" s="53"/>
      <c r="C81" s="171"/>
      <c r="D81" s="64"/>
      <c r="E81" s="172"/>
    </row>
    <row r="82" spans="2:5" ht="15.75" x14ac:dyDescent="0.25">
      <c r="B82" s="59" t="s">
        <v>177</v>
      </c>
      <c r="C82" s="143"/>
      <c r="D82" s="36"/>
      <c r="E82" s="144"/>
    </row>
    <row r="83" spans="2:5" ht="16.5" x14ac:dyDescent="0.25">
      <c r="B83" s="97" t="s">
        <v>178</v>
      </c>
      <c r="C83" s="39"/>
      <c r="D83" s="39"/>
      <c r="E83" s="107"/>
    </row>
    <row r="84" spans="2:5" ht="17.25" thickBot="1" x14ac:dyDescent="0.3">
      <c r="B84" s="97"/>
      <c r="C84" s="63"/>
      <c r="D84" s="111"/>
      <c r="E84" s="327"/>
    </row>
    <row r="85" spans="2:5" ht="19.5" thickTop="1" thickBot="1" x14ac:dyDescent="0.3">
      <c r="B85" s="112" t="s">
        <v>179</v>
      </c>
      <c r="C85" s="113">
        <f>C80+C83</f>
        <v>22302058.740000006</v>
      </c>
      <c r="D85" s="113">
        <f>D80+D83</f>
        <v>26014566.880000006</v>
      </c>
      <c r="E85" s="328">
        <f>E80+E83</f>
        <v>20039591.370000001</v>
      </c>
    </row>
    <row r="86" spans="2:5" ht="17.25" x14ac:dyDescent="0.25">
      <c r="B86" s="114"/>
      <c r="C86" s="115"/>
      <c r="D86" s="116"/>
      <c r="E86" s="5"/>
    </row>
    <row r="87" spans="2:5" hidden="1" x14ac:dyDescent="0.25">
      <c r="B87" s="118" t="str">
        <f>B8</f>
        <v>SOCIEDAD: EMPRESA MUNICIPAL DE LA VIVIENDA Y SUELO DE MADRID S.A.</v>
      </c>
      <c r="C87" s="119" t="str">
        <f t="shared" ref="C87:E88" si="0">C10</f>
        <v>PRESUPUESTO</v>
      </c>
      <c r="D87" s="119" t="str">
        <f t="shared" si="0"/>
        <v>REAL</v>
      </c>
      <c r="E87" s="120" t="str">
        <f t="shared" si="0"/>
        <v>PRESUPUESTO</v>
      </c>
    </row>
    <row r="88" spans="2:5" hidden="1" x14ac:dyDescent="0.25">
      <c r="B88" s="121"/>
      <c r="C88" s="122">
        <f t="shared" si="0"/>
        <v>43100</v>
      </c>
      <c r="D88" s="123" t="str">
        <f t="shared" si="0"/>
        <v>CIERRE 2017</v>
      </c>
      <c r="E88" s="124">
        <f t="shared" si="0"/>
        <v>43465</v>
      </c>
    </row>
    <row r="89" spans="2:5" hidden="1" x14ac:dyDescent="0.25">
      <c r="B89" s="125" t="s">
        <v>180</v>
      </c>
      <c r="C89" s="3">
        <f>C90+C91</f>
        <v>22302058.740000002</v>
      </c>
      <c r="D89" s="3">
        <f>D90+D91</f>
        <v>26014566.88000001</v>
      </c>
      <c r="E89" s="126">
        <f>E90+E91</f>
        <v>20039591.370000005</v>
      </c>
    </row>
    <row r="90" spans="2:5" hidden="1" x14ac:dyDescent="0.25">
      <c r="B90" s="125" t="s">
        <v>181</v>
      </c>
      <c r="C90" s="127">
        <f>C14+C26+C32+C49+C50+C55+C58+C102</f>
        <v>88080526</v>
      </c>
      <c r="D90" s="127">
        <f>D14+D26+D32+D49+D50+D55+D58+D102</f>
        <v>74450067.730000004</v>
      </c>
      <c r="E90" s="128">
        <f>E14+E26+E32+E49+E50+E55+E58+E102</f>
        <v>74304059.659999996</v>
      </c>
    </row>
    <row r="91" spans="2:5" hidden="1" x14ac:dyDescent="0.25">
      <c r="B91" s="125" t="s">
        <v>182</v>
      </c>
      <c r="C91" s="127">
        <f>C27+C36+C40+C45+C56+C66+C79+C113</f>
        <v>-65778467.259999998</v>
      </c>
      <c r="D91" s="127">
        <f>D27+D36+D40+D45+D56+D66+D79+D113</f>
        <v>-48435500.849999994</v>
      </c>
      <c r="E91" s="128">
        <f>E27+E36+E40+E45+E56+E66+E79+E113</f>
        <v>-54264468.289999992</v>
      </c>
    </row>
    <row r="92" spans="2:5" s="92" customFormat="1" hidden="1" x14ac:dyDescent="0.25">
      <c r="B92" s="129"/>
      <c r="C92" s="90"/>
      <c r="D92" s="130"/>
      <c r="E92" s="131"/>
    </row>
    <row r="93" spans="2:5" hidden="1" x14ac:dyDescent="0.25">
      <c r="B93" s="132" t="s">
        <v>183</v>
      </c>
      <c r="C93" s="133"/>
      <c r="D93" s="133"/>
      <c r="E93" s="134"/>
    </row>
    <row r="94" spans="2:5" ht="16.5" hidden="1" x14ac:dyDescent="0.25">
      <c r="B94" s="135" t="s">
        <v>184</v>
      </c>
      <c r="C94" s="3">
        <f>IF(C25&gt;0,C25,0)</f>
        <v>0</v>
      </c>
      <c r="D94" s="3">
        <f>IF(D25&gt;0,D25,0)</f>
        <v>1676544.77</v>
      </c>
      <c r="E94" s="126">
        <f>IF(E25&gt;0,E25,0)</f>
        <v>0</v>
      </c>
    </row>
    <row r="95" spans="2:5" ht="16.5" hidden="1" x14ac:dyDescent="0.25">
      <c r="B95" s="100" t="s">
        <v>185</v>
      </c>
      <c r="C95" s="3">
        <f t="shared" ref="C95:E96" si="1">IF(C52&gt;0,C52,0)</f>
        <v>0</v>
      </c>
      <c r="D95" s="3">
        <f t="shared" si="1"/>
        <v>0</v>
      </c>
      <c r="E95" s="126">
        <f t="shared" si="1"/>
        <v>0</v>
      </c>
    </row>
    <row r="96" spans="2:5" ht="16.5" hidden="1" x14ac:dyDescent="0.25">
      <c r="B96" s="100" t="s">
        <v>186</v>
      </c>
      <c r="C96" s="3">
        <f t="shared" si="1"/>
        <v>0</v>
      </c>
      <c r="D96" s="3">
        <f t="shared" si="1"/>
        <v>288949.23</v>
      </c>
      <c r="E96" s="126">
        <f t="shared" si="1"/>
        <v>0</v>
      </c>
    </row>
    <row r="97" spans="2:5" ht="16.5" hidden="1" x14ac:dyDescent="0.25">
      <c r="B97" s="97" t="s">
        <v>187</v>
      </c>
      <c r="C97" s="3">
        <f>IF(C70&gt;0,C70,0)</f>
        <v>0</v>
      </c>
      <c r="D97" s="3">
        <f>IF(D70&gt;0,D70,0)</f>
        <v>0</v>
      </c>
      <c r="E97" s="126">
        <f>IF(E70&gt;0,E70,0)</f>
        <v>0</v>
      </c>
    </row>
    <row r="98" spans="2:5" ht="16.5" hidden="1" x14ac:dyDescent="0.25">
      <c r="B98" s="97" t="s">
        <v>188</v>
      </c>
      <c r="C98" s="3">
        <f>IF(C73&gt;0,C73,0)</f>
        <v>0</v>
      </c>
      <c r="D98" s="3">
        <f>IF(D73&gt;0,D73,0)</f>
        <v>0</v>
      </c>
      <c r="E98" s="126">
        <f>IF(E73&gt;0,E73,0)</f>
        <v>0</v>
      </c>
    </row>
    <row r="99" spans="2:5" ht="16.5" hidden="1" x14ac:dyDescent="0.25">
      <c r="B99" s="100" t="s">
        <v>189</v>
      </c>
      <c r="C99" s="3">
        <f t="shared" ref="C99:E100" si="2">IF(C75&gt;0,C75,0)</f>
        <v>0</v>
      </c>
      <c r="D99" s="3">
        <f t="shared" si="2"/>
        <v>0</v>
      </c>
      <c r="E99" s="126">
        <f t="shared" si="2"/>
        <v>0</v>
      </c>
    </row>
    <row r="100" spans="2:5" ht="16.5" hidden="1" x14ac:dyDescent="0.25">
      <c r="B100" s="100" t="s">
        <v>190</v>
      </c>
      <c r="C100" s="3">
        <f t="shared" si="2"/>
        <v>0</v>
      </c>
      <c r="D100" s="3">
        <f t="shared" si="2"/>
        <v>0</v>
      </c>
      <c r="E100" s="126">
        <f t="shared" si="2"/>
        <v>0</v>
      </c>
    </row>
    <row r="101" spans="2:5" ht="16.5" hidden="1" x14ac:dyDescent="0.25">
      <c r="B101" s="97" t="s">
        <v>191</v>
      </c>
      <c r="C101" s="3">
        <f>IF(C83&gt;0,C83,0)</f>
        <v>0</v>
      </c>
      <c r="D101" s="3">
        <f>IF(D83&gt;0,D83,0)</f>
        <v>0</v>
      </c>
      <c r="E101" s="126">
        <f>IF(E83&gt;0,E83,0)</f>
        <v>0</v>
      </c>
    </row>
    <row r="102" spans="2:5" hidden="1" x14ac:dyDescent="0.25">
      <c r="B102" s="136" t="s">
        <v>192</v>
      </c>
      <c r="C102" s="70">
        <f>SUM(C94:C101)</f>
        <v>0</v>
      </c>
      <c r="D102" s="70">
        <f>SUM(D94:D101)</f>
        <v>1965494</v>
      </c>
      <c r="E102" s="137">
        <f>SUM(E94:E101)</f>
        <v>0</v>
      </c>
    </row>
    <row r="103" spans="2:5" hidden="1" x14ac:dyDescent="0.25">
      <c r="B103" s="121"/>
      <c r="C103" s="3"/>
      <c r="D103" s="3"/>
      <c r="E103" s="126"/>
    </row>
    <row r="104" spans="2:5" hidden="1" x14ac:dyDescent="0.25">
      <c r="B104" s="132" t="s">
        <v>193</v>
      </c>
      <c r="C104" s="133"/>
      <c r="D104" s="133"/>
      <c r="E104" s="134"/>
    </row>
    <row r="105" spans="2:5" ht="16.5" hidden="1" x14ac:dyDescent="0.25">
      <c r="B105" s="135" t="s">
        <v>184</v>
      </c>
      <c r="C105" s="3">
        <f>IF(C25&lt;0,C25,0)</f>
        <v>0</v>
      </c>
      <c r="D105" s="3">
        <f>IF(D25&lt;0,D25,0)</f>
        <v>0</v>
      </c>
      <c r="E105" s="126">
        <f>IF(E25&lt;0,E25,0)</f>
        <v>0</v>
      </c>
    </row>
    <row r="106" spans="2:5" ht="16.5" hidden="1" x14ac:dyDescent="0.25">
      <c r="B106" s="100" t="s">
        <v>185</v>
      </c>
      <c r="C106" s="3">
        <f t="shared" ref="C106:E107" si="3">IF(C52&lt;0,C52,0)</f>
        <v>0</v>
      </c>
      <c r="D106" s="3">
        <f t="shared" si="3"/>
        <v>0</v>
      </c>
      <c r="E106" s="126">
        <f t="shared" si="3"/>
        <v>0</v>
      </c>
    </row>
    <row r="107" spans="2:5" ht="16.5" hidden="1" x14ac:dyDescent="0.25">
      <c r="B107" s="100" t="s">
        <v>186</v>
      </c>
      <c r="C107" s="3">
        <f t="shared" si="3"/>
        <v>0</v>
      </c>
      <c r="D107" s="3">
        <f t="shared" si="3"/>
        <v>0</v>
      </c>
      <c r="E107" s="126">
        <f t="shared" si="3"/>
        <v>0</v>
      </c>
    </row>
    <row r="108" spans="2:5" ht="16.5" hidden="1" x14ac:dyDescent="0.25">
      <c r="B108" s="97" t="s">
        <v>187</v>
      </c>
      <c r="C108" s="3">
        <f>IF(C70&lt;0,C70,0)</f>
        <v>0</v>
      </c>
      <c r="D108" s="3">
        <f>IF(D70&lt;0,D70,0)</f>
        <v>0</v>
      </c>
      <c r="E108" s="126">
        <f>IF(E70&lt;0,E70,0)</f>
        <v>0</v>
      </c>
    </row>
    <row r="109" spans="2:5" ht="16.5" hidden="1" x14ac:dyDescent="0.25">
      <c r="B109" s="97" t="s">
        <v>188</v>
      </c>
      <c r="C109" s="3">
        <f>IF(C73&lt;0,C73,0)</f>
        <v>0</v>
      </c>
      <c r="D109" s="3">
        <f>IF(D73&lt;0,D73,0)</f>
        <v>0</v>
      </c>
      <c r="E109" s="126">
        <f>IF(E73&lt;0,E73,0)</f>
        <v>0</v>
      </c>
    </row>
    <row r="110" spans="2:5" ht="16.5" hidden="1" x14ac:dyDescent="0.25">
      <c r="B110" s="100" t="s">
        <v>189</v>
      </c>
      <c r="C110" s="3">
        <f t="shared" ref="C110:E111" si="4">IF(C75&lt;0,C75,0)</f>
        <v>0</v>
      </c>
      <c r="D110" s="3">
        <f t="shared" si="4"/>
        <v>0</v>
      </c>
      <c r="E110" s="126">
        <f t="shared" si="4"/>
        <v>0</v>
      </c>
    </row>
    <row r="111" spans="2:5" ht="16.5" hidden="1" x14ac:dyDescent="0.25">
      <c r="B111" s="100" t="s">
        <v>190</v>
      </c>
      <c r="C111" s="3">
        <f t="shared" si="4"/>
        <v>0</v>
      </c>
      <c r="D111" s="3">
        <f t="shared" si="4"/>
        <v>0</v>
      </c>
      <c r="E111" s="126">
        <f t="shared" si="4"/>
        <v>0</v>
      </c>
    </row>
    <row r="112" spans="2:5" ht="16.5" hidden="1" x14ac:dyDescent="0.25">
      <c r="B112" s="97" t="s">
        <v>191</v>
      </c>
      <c r="C112" s="3">
        <f>IF(C83&lt;0,C83,0)</f>
        <v>0</v>
      </c>
      <c r="D112" s="3">
        <f>IF(D83&lt;0,D83,0)</f>
        <v>0</v>
      </c>
      <c r="E112" s="126">
        <f>IF(E83&lt;0,E83,0)</f>
        <v>0</v>
      </c>
    </row>
    <row r="113" spans="2:5" ht="15.75" hidden="1" thickBot="1" x14ac:dyDescent="0.3">
      <c r="B113" s="138" t="s">
        <v>192</v>
      </c>
      <c r="C113" s="139">
        <f>SUM(C105:C112)</f>
        <v>0</v>
      </c>
      <c r="D113" s="139">
        <f>SUM(D105:D112)</f>
        <v>0</v>
      </c>
      <c r="E113" s="140">
        <f>SUM(E105:E112)</f>
        <v>0</v>
      </c>
    </row>
  </sheetData>
  <mergeCells count="3">
    <mergeCell ref="B3:E3"/>
    <mergeCell ref="F10:G10"/>
    <mergeCell ref="H10:I10"/>
  </mergeCells>
  <conditionalFormatting sqref="C89:E89">
    <cfRule type="cellIs" dxfId="98" priority="52" stopIfTrue="1" operator="notEqual">
      <formula>C85</formula>
    </cfRule>
  </conditionalFormatting>
  <conditionalFormatting sqref="C60:C61 C63:C65 C16:C19">
    <cfRule type="cellIs" dxfId="97" priority="53" stopIfTrue="1" operator="lessThan">
      <formula>0</formula>
    </cfRule>
  </conditionalFormatting>
  <conditionalFormatting sqref="C67:C69">
    <cfRule type="cellIs" dxfId="96" priority="54" stopIfTrue="1" operator="greaterThan">
      <formula>0</formula>
    </cfRule>
  </conditionalFormatting>
  <conditionalFormatting sqref="D56 D48 D67:D69">
    <cfRule type="cellIs" dxfId="95" priority="24" stopIfTrue="1" operator="greaterThan">
      <formula>0</formula>
    </cfRule>
  </conditionalFormatting>
  <conditionalFormatting sqref="C26 C21:C24">
    <cfRule type="cellIs" dxfId="94" priority="45" stopIfTrue="1" operator="lessThan">
      <formula>0</formula>
    </cfRule>
  </conditionalFormatting>
  <conditionalFormatting sqref="C30">
    <cfRule type="cellIs" dxfId="93" priority="44" stopIfTrue="1" operator="greaterThan">
      <formula>0</formula>
    </cfRule>
  </conditionalFormatting>
  <conditionalFormatting sqref="C37:C38">
    <cfRule type="cellIs" dxfId="92" priority="43" stopIfTrue="1" operator="greaterThan">
      <formula>0</formula>
    </cfRule>
  </conditionalFormatting>
  <conditionalFormatting sqref="C44 C41">
    <cfRule type="cellIs" dxfId="91" priority="42" stopIfTrue="1" operator="greaterThan">
      <formula>0</formula>
    </cfRule>
  </conditionalFormatting>
  <conditionalFormatting sqref="C46">
    <cfRule type="cellIs" dxfId="90" priority="41" stopIfTrue="1" operator="greaterThan">
      <formula>0</formula>
    </cfRule>
  </conditionalFormatting>
  <conditionalFormatting sqref="C55">
    <cfRule type="cellIs" dxfId="89" priority="39" stopIfTrue="1" operator="lessThan">
      <formula>0</formula>
    </cfRule>
  </conditionalFormatting>
  <conditionalFormatting sqref="C56">
    <cfRule type="cellIs" dxfId="88" priority="40" stopIfTrue="1" operator="greaterThan">
      <formula>0</formula>
    </cfRule>
  </conditionalFormatting>
  <conditionalFormatting sqref="C47:C48">
    <cfRule type="cellIs" dxfId="87" priority="38" stopIfTrue="1" operator="greaterThan">
      <formula>0</formula>
    </cfRule>
  </conditionalFormatting>
  <conditionalFormatting sqref="C49:C50">
    <cfRule type="cellIs" dxfId="86" priority="37" stopIfTrue="1" operator="lessThan">
      <formula>0</formula>
    </cfRule>
  </conditionalFormatting>
  <conditionalFormatting sqref="C53">
    <cfRule type="cellIs" dxfId="85" priority="36" stopIfTrue="1" operator="lessThan">
      <formula>0</formula>
    </cfRule>
  </conditionalFormatting>
  <conditionalFormatting sqref="E30">
    <cfRule type="cellIs" dxfId="84" priority="9" stopIfTrue="1" operator="greaterThan">
      <formula>0</formula>
    </cfRule>
  </conditionalFormatting>
  <conditionalFormatting sqref="D44">
    <cfRule type="cellIs" dxfId="83" priority="18" stopIfTrue="1" operator="greaterThan">
      <formula>0</formula>
    </cfRule>
  </conditionalFormatting>
  <conditionalFormatting sqref="D41">
    <cfRule type="cellIs" dxfId="82" priority="16" stopIfTrue="1" operator="greaterThan">
      <formula>0</formula>
    </cfRule>
  </conditionalFormatting>
  <conditionalFormatting sqref="D50">
    <cfRule type="cellIs" dxfId="81" priority="13" stopIfTrue="1" operator="lessThan">
      <formula>0</formula>
    </cfRule>
  </conditionalFormatting>
  <conditionalFormatting sqref="E53">
    <cfRule type="cellIs" dxfId="80" priority="1" stopIfTrue="1" operator="lessThan">
      <formula>0</formula>
    </cfRule>
  </conditionalFormatting>
  <conditionalFormatting sqref="D55 D26 D49 D60:D61 D63:D65 D16:D19">
    <cfRule type="cellIs" dxfId="79" priority="23" stopIfTrue="1" operator="lessThan">
      <formula>0</formula>
    </cfRule>
  </conditionalFormatting>
  <conditionalFormatting sqref="D46:D47">
    <cfRule type="cellIs" dxfId="78" priority="22" stopIfTrue="1" operator="greaterThan">
      <formula>0</formula>
    </cfRule>
  </conditionalFormatting>
  <conditionalFormatting sqref="D21:D24">
    <cfRule type="cellIs" dxfId="77" priority="21" stopIfTrue="1" operator="lessThan">
      <formula>0</formula>
    </cfRule>
  </conditionalFormatting>
  <conditionalFormatting sqref="D30">
    <cfRule type="cellIs" dxfId="76" priority="20" stopIfTrue="1" operator="greaterThan">
      <formula>0</formula>
    </cfRule>
  </conditionalFormatting>
  <conditionalFormatting sqref="D37:D38">
    <cfRule type="cellIs" dxfId="75" priority="19" stopIfTrue="1" operator="greaterThan">
      <formula>0</formula>
    </cfRule>
  </conditionalFormatting>
  <conditionalFormatting sqref="E47:E48">
    <cfRule type="cellIs" dxfId="74" priority="3" stopIfTrue="1" operator="greaterThan">
      <formula>0</formula>
    </cfRule>
  </conditionalFormatting>
  <conditionalFormatting sqref="E49:E50">
    <cfRule type="cellIs" dxfId="73" priority="2" stopIfTrue="1" operator="lessThan">
      <formula>0</formula>
    </cfRule>
  </conditionalFormatting>
  <conditionalFormatting sqref="D25">
    <cfRule type="cellIs" dxfId="72" priority="14" stopIfTrue="1" operator="lessThan">
      <formula>0</formula>
    </cfRule>
  </conditionalFormatting>
  <conditionalFormatting sqref="E60:E61 E63:E65 E16:E19">
    <cfRule type="cellIs" dxfId="71" priority="11" stopIfTrue="1" operator="lessThan">
      <formula>0</formula>
    </cfRule>
  </conditionalFormatting>
  <conditionalFormatting sqref="E67:E69">
    <cfRule type="cellIs" dxfId="70" priority="12" stopIfTrue="1" operator="greaterThan">
      <formula>0</formula>
    </cfRule>
  </conditionalFormatting>
  <conditionalFormatting sqref="E26 E21:E24">
    <cfRule type="cellIs" dxfId="69" priority="10" stopIfTrue="1" operator="lessThan">
      <formula>0</formula>
    </cfRule>
  </conditionalFormatting>
  <conditionalFormatting sqref="E37:E38">
    <cfRule type="cellIs" dxfId="68" priority="8" stopIfTrue="1" operator="greaterThan">
      <formula>0</formula>
    </cfRule>
  </conditionalFormatting>
  <conditionalFormatting sqref="E44 E41">
    <cfRule type="cellIs" dxfId="67" priority="7" stopIfTrue="1" operator="greaterThan">
      <formula>0</formula>
    </cfRule>
  </conditionalFormatting>
  <conditionalFormatting sqref="E46">
    <cfRule type="cellIs" dxfId="66" priority="6" stopIfTrue="1" operator="greaterThan">
      <formula>0</formula>
    </cfRule>
  </conditionalFormatting>
  <conditionalFormatting sqref="E55">
    <cfRule type="cellIs" dxfId="65" priority="4" stopIfTrue="1" operator="lessThan">
      <formula>0</formula>
    </cfRule>
  </conditionalFormatting>
  <conditionalFormatting sqref="E56">
    <cfRule type="cellIs" dxfId="64" priority="5" stopIfTrue="1" operator="greaterThan">
      <formula>0</formula>
    </cfRule>
  </conditionalFormatting>
  <pageMargins left="0.7" right="0.7" top="0.75" bottom="0.75" header="0.3" footer="0.3"/>
  <pageSetup paperSize="9" scale="4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19" workbookViewId="0">
      <selection activeCell="E64" sqref="E64"/>
    </sheetView>
  </sheetViews>
  <sheetFormatPr baseColWidth="10" defaultRowHeight="15" x14ac:dyDescent="0.25"/>
  <cols>
    <col min="1" max="1" width="4.7109375" style="1" customWidth="1"/>
    <col min="2" max="2" width="53.7109375" style="1" customWidth="1"/>
    <col min="3" max="3" width="15.140625" style="1" bestFit="1" customWidth="1"/>
    <col min="4" max="4" width="16.42578125" style="1" bestFit="1" customWidth="1"/>
    <col min="5" max="5" width="16.42578125" style="5" bestFit="1" customWidth="1"/>
    <col min="6" max="6" width="20.7109375" style="2" hidden="1" customWidth="1"/>
    <col min="7" max="7" width="0.28515625" style="2" hidden="1" customWidth="1"/>
    <col min="8" max="8" width="20.7109375" style="5" hidden="1" customWidth="1"/>
    <col min="9" max="9" width="18.140625" style="1" hidden="1" customWidth="1"/>
    <col min="10" max="10" width="13.85546875" style="1" bestFit="1" customWidth="1"/>
    <col min="11" max="11" width="13.28515625" style="1" bestFit="1" customWidth="1"/>
    <col min="12" max="256" width="11.42578125" style="1"/>
    <col min="257" max="257" width="4.7109375" style="1" customWidth="1"/>
    <col min="258" max="258" width="53.7109375" style="1" customWidth="1"/>
    <col min="259" max="261" width="20.7109375" style="1" customWidth="1"/>
    <col min="262" max="265" width="0" style="1" hidden="1" customWidth="1"/>
    <col min="266" max="266" width="13.85546875" style="1" bestFit="1" customWidth="1"/>
    <col min="267" max="267" width="13.28515625" style="1" bestFit="1" customWidth="1"/>
    <col min="268" max="512" width="11.42578125" style="1"/>
    <col min="513" max="513" width="4.7109375" style="1" customWidth="1"/>
    <col min="514" max="514" width="53.7109375" style="1" customWidth="1"/>
    <col min="515" max="517" width="20.7109375" style="1" customWidth="1"/>
    <col min="518" max="521" width="0" style="1" hidden="1" customWidth="1"/>
    <col min="522" max="522" width="13.85546875" style="1" bestFit="1" customWidth="1"/>
    <col min="523" max="523" width="13.28515625" style="1" bestFit="1" customWidth="1"/>
    <col min="524" max="768" width="11.42578125" style="1"/>
    <col min="769" max="769" width="4.7109375" style="1" customWidth="1"/>
    <col min="770" max="770" width="53.7109375" style="1" customWidth="1"/>
    <col min="771" max="773" width="20.7109375" style="1" customWidth="1"/>
    <col min="774" max="777" width="0" style="1" hidden="1" customWidth="1"/>
    <col min="778" max="778" width="13.85546875" style="1" bestFit="1" customWidth="1"/>
    <col min="779" max="779" width="13.28515625" style="1" bestFit="1" customWidth="1"/>
    <col min="780" max="1024" width="11.42578125" style="1"/>
    <col min="1025" max="1025" width="4.7109375" style="1" customWidth="1"/>
    <col min="1026" max="1026" width="53.7109375" style="1" customWidth="1"/>
    <col min="1027" max="1029" width="20.7109375" style="1" customWidth="1"/>
    <col min="1030" max="1033" width="0" style="1" hidden="1" customWidth="1"/>
    <col min="1034" max="1034" width="13.85546875" style="1" bestFit="1" customWidth="1"/>
    <col min="1035" max="1035" width="13.28515625" style="1" bestFit="1" customWidth="1"/>
    <col min="1036" max="1280" width="11.42578125" style="1"/>
    <col min="1281" max="1281" width="4.7109375" style="1" customWidth="1"/>
    <col min="1282" max="1282" width="53.7109375" style="1" customWidth="1"/>
    <col min="1283" max="1285" width="20.7109375" style="1" customWidth="1"/>
    <col min="1286" max="1289" width="0" style="1" hidden="1" customWidth="1"/>
    <col min="1290" max="1290" width="13.85546875" style="1" bestFit="1" customWidth="1"/>
    <col min="1291" max="1291" width="13.28515625" style="1" bestFit="1" customWidth="1"/>
    <col min="1292" max="1536" width="11.42578125" style="1"/>
    <col min="1537" max="1537" width="4.7109375" style="1" customWidth="1"/>
    <col min="1538" max="1538" width="53.7109375" style="1" customWidth="1"/>
    <col min="1539" max="1541" width="20.7109375" style="1" customWidth="1"/>
    <col min="1542" max="1545" width="0" style="1" hidden="1" customWidth="1"/>
    <col min="1546" max="1546" width="13.85546875" style="1" bestFit="1" customWidth="1"/>
    <col min="1547" max="1547" width="13.28515625" style="1" bestFit="1" customWidth="1"/>
    <col min="1548" max="1792" width="11.42578125" style="1"/>
    <col min="1793" max="1793" width="4.7109375" style="1" customWidth="1"/>
    <col min="1794" max="1794" width="53.7109375" style="1" customWidth="1"/>
    <col min="1795" max="1797" width="20.7109375" style="1" customWidth="1"/>
    <col min="1798" max="1801" width="0" style="1" hidden="1" customWidth="1"/>
    <col min="1802" max="1802" width="13.85546875" style="1" bestFit="1" customWidth="1"/>
    <col min="1803" max="1803" width="13.28515625" style="1" bestFit="1" customWidth="1"/>
    <col min="1804" max="2048" width="11.42578125" style="1"/>
    <col min="2049" max="2049" width="4.7109375" style="1" customWidth="1"/>
    <col min="2050" max="2050" width="53.7109375" style="1" customWidth="1"/>
    <col min="2051" max="2053" width="20.7109375" style="1" customWidth="1"/>
    <col min="2054" max="2057" width="0" style="1" hidden="1" customWidth="1"/>
    <col min="2058" max="2058" width="13.85546875" style="1" bestFit="1" customWidth="1"/>
    <col min="2059" max="2059" width="13.28515625" style="1" bestFit="1" customWidth="1"/>
    <col min="2060" max="2304" width="11.42578125" style="1"/>
    <col min="2305" max="2305" width="4.7109375" style="1" customWidth="1"/>
    <col min="2306" max="2306" width="53.7109375" style="1" customWidth="1"/>
    <col min="2307" max="2309" width="20.7109375" style="1" customWidth="1"/>
    <col min="2310" max="2313" width="0" style="1" hidden="1" customWidth="1"/>
    <col min="2314" max="2314" width="13.85546875" style="1" bestFit="1" customWidth="1"/>
    <col min="2315" max="2315" width="13.28515625" style="1" bestFit="1" customWidth="1"/>
    <col min="2316" max="2560" width="11.42578125" style="1"/>
    <col min="2561" max="2561" width="4.7109375" style="1" customWidth="1"/>
    <col min="2562" max="2562" width="53.7109375" style="1" customWidth="1"/>
    <col min="2563" max="2565" width="20.7109375" style="1" customWidth="1"/>
    <col min="2566" max="2569" width="0" style="1" hidden="1" customWidth="1"/>
    <col min="2570" max="2570" width="13.85546875" style="1" bestFit="1" customWidth="1"/>
    <col min="2571" max="2571" width="13.28515625" style="1" bestFit="1" customWidth="1"/>
    <col min="2572" max="2816" width="11.42578125" style="1"/>
    <col min="2817" max="2817" width="4.7109375" style="1" customWidth="1"/>
    <col min="2818" max="2818" width="53.7109375" style="1" customWidth="1"/>
    <col min="2819" max="2821" width="20.7109375" style="1" customWidth="1"/>
    <col min="2822" max="2825" width="0" style="1" hidden="1" customWidth="1"/>
    <col min="2826" max="2826" width="13.85546875" style="1" bestFit="1" customWidth="1"/>
    <col min="2827" max="2827" width="13.28515625" style="1" bestFit="1" customWidth="1"/>
    <col min="2828" max="3072" width="11.42578125" style="1"/>
    <col min="3073" max="3073" width="4.7109375" style="1" customWidth="1"/>
    <col min="3074" max="3074" width="53.7109375" style="1" customWidth="1"/>
    <col min="3075" max="3077" width="20.7109375" style="1" customWidth="1"/>
    <col min="3078" max="3081" width="0" style="1" hidden="1" customWidth="1"/>
    <col min="3082" max="3082" width="13.85546875" style="1" bestFit="1" customWidth="1"/>
    <col min="3083" max="3083" width="13.28515625" style="1" bestFit="1" customWidth="1"/>
    <col min="3084" max="3328" width="11.42578125" style="1"/>
    <col min="3329" max="3329" width="4.7109375" style="1" customWidth="1"/>
    <col min="3330" max="3330" width="53.7109375" style="1" customWidth="1"/>
    <col min="3331" max="3333" width="20.7109375" style="1" customWidth="1"/>
    <col min="3334" max="3337" width="0" style="1" hidden="1" customWidth="1"/>
    <col min="3338" max="3338" width="13.85546875" style="1" bestFit="1" customWidth="1"/>
    <col min="3339" max="3339" width="13.28515625" style="1" bestFit="1" customWidth="1"/>
    <col min="3340" max="3584" width="11.42578125" style="1"/>
    <col min="3585" max="3585" width="4.7109375" style="1" customWidth="1"/>
    <col min="3586" max="3586" width="53.7109375" style="1" customWidth="1"/>
    <col min="3587" max="3589" width="20.7109375" style="1" customWidth="1"/>
    <col min="3590" max="3593" width="0" style="1" hidden="1" customWidth="1"/>
    <col min="3594" max="3594" width="13.85546875" style="1" bestFit="1" customWidth="1"/>
    <col min="3595" max="3595" width="13.28515625" style="1" bestFit="1" customWidth="1"/>
    <col min="3596" max="3840" width="11.42578125" style="1"/>
    <col min="3841" max="3841" width="4.7109375" style="1" customWidth="1"/>
    <col min="3842" max="3842" width="53.7109375" style="1" customWidth="1"/>
    <col min="3843" max="3845" width="20.7109375" style="1" customWidth="1"/>
    <col min="3846" max="3849" width="0" style="1" hidden="1" customWidth="1"/>
    <col min="3850" max="3850" width="13.85546875" style="1" bestFit="1" customWidth="1"/>
    <col min="3851" max="3851" width="13.28515625" style="1" bestFit="1" customWidth="1"/>
    <col min="3852" max="4096" width="11.42578125" style="1"/>
    <col min="4097" max="4097" width="4.7109375" style="1" customWidth="1"/>
    <col min="4098" max="4098" width="53.7109375" style="1" customWidth="1"/>
    <col min="4099" max="4101" width="20.7109375" style="1" customWidth="1"/>
    <col min="4102" max="4105" width="0" style="1" hidden="1" customWidth="1"/>
    <col min="4106" max="4106" width="13.85546875" style="1" bestFit="1" customWidth="1"/>
    <col min="4107" max="4107" width="13.28515625" style="1" bestFit="1" customWidth="1"/>
    <col min="4108" max="4352" width="11.42578125" style="1"/>
    <col min="4353" max="4353" width="4.7109375" style="1" customWidth="1"/>
    <col min="4354" max="4354" width="53.7109375" style="1" customWidth="1"/>
    <col min="4355" max="4357" width="20.7109375" style="1" customWidth="1"/>
    <col min="4358" max="4361" width="0" style="1" hidden="1" customWidth="1"/>
    <col min="4362" max="4362" width="13.85546875" style="1" bestFit="1" customWidth="1"/>
    <col min="4363" max="4363" width="13.28515625" style="1" bestFit="1" customWidth="1"/>
    <col min="4364" max="4608" width="11.42578125" style="1"/>
    <col min="4609" max="4609" width="4.7109375" style="1" customWidth="1"/>
    <col min="4610" max="4610" width="53.7109375" style="1" customWidth="1"/>
    <col min="4611" max="4613" width="20.7109375" style="1" customWidth="1"/>
    <col min="4614" max="4617" width="0" style="1" hidden="1" customWidth="1"/>
    <col min="4618" max="4618" width="13.85546875" style="1" bestFit="1" customWidth="1"/>
    <col min="4619" max="4619" width="13.28515625" style="1" bestFit="1" customWidth="1"/>
    <col min="4620" max="4864" width="11.42578125" style="1"/>
    <col min="4865" max="4865" width="4.7109375" style="1" customWidth="1"/>
    <col min="4866" max="4866" width="53.7109375" style="1" customWidth="1"/>
    <col min="4867" max="4869" width="20.7109375" style="1" customWidth="1"/>
    <col min="4870" max="4873" width="0" style="1" hidden="1" customWidth="1"/>
    <col min="4874" max="4874" width="13.85546875" style="1" bestFit="1" customWidth="1"/>
    <col min="4875" max="4875" width="13.28515625" style="1" bestFit="1" customWidth="1"/>
    <col min="4876" max="5120" width="11.42578125" style="1"/>
    <col min="5121" max="5121" width="4.7109375" style="1" customWidth="1"/>
    <col min="5122" max="5122" width="53.7109375" style="1" customWidth="1"/>
    <col min="5123" max="5125" width="20.7109375" style="1" customWidth="1"/>
    <col min="5126" max="5129" width="0" style="1" hidden="1" customWidth="1"/>
    <col min="5130" max="5130" width="13.85546875" style="1" bestFit="1" customWidth="1"/>
    <col min="5131" max="5131" width="13.28515625" style="1" bestFit="1" customWidth="1"/>
    <col min="5132" max="5376" width="11.42578125" style="1"/>
    <col min="5377" max="5377" width="4.7109375" style="1" customWidth="1"/>
    <col min="5378" max="5378" width="53.7109375" style="1" customWidth="1"/>
    <col min="5379" max="5381" width="20.7109375" style="1" customWidth="1"/>
    <col min="5382" max="5385" width="0" style="1" hidden="1" customWidth="1"/>
    <col min="5386" max="5386" width="13.85546875" style="1" bestFit="1" customWidth="1"/>
    <col min="5387" max="5387" width="13.28515625" style="1" bestFit="1" customWidth="1"/>
    <col min="5388" max="5632" width="11.42578125" style="1"/>
    <col min="5633" max="5633" width="4.7109375" style="1" customWidth="1"/>
    <col min="5634" max="5634" width="53.7109375" style="1" customWidth="1"/>
    <col min="5635" max="5637" width="20.7109375" style="1" customWidth="1"/>
    <col min="5638" max="5641" width="0" style="1" hidden="1" customWidth="1"/>
    <col min="5642" max="5642" width="13.85546875" style="1" bestFit="1" customWidth="1"/>
    <col min="5643" max="5643" width="13.28515625" style="1" bestFit="1" customWidth="1"/>
    <col min="5644" max="5888" width="11.42578125" style="1"/>
    <col min="5889" max="5889" width="4.7109375" style="1" customWidth="1"/>
    <col min="5890" max="5890" width="53.7109375" style="1" customWidth="1"/>
    <col min="5891" max="5893" width="20.7109375" style="1" customWidth="1"/>
    <col min="5894" max="5897" width="0" style="1" hidden="1" customWidth="1"/>
    <col min="5898" max="5898" width="13.85546875" style="1" bestFit="1" customWidth="1"/>
    <col min="5899" max="5899" width="13.28515625" style="1" bestFit="1" customWidth="1"/>
    <col min="5900" max="6144" width="11.42578125" style="1"/>
    <col min="6145" max="6145" width="4.7109375" style="1" customWidth="1"/>
    <col min="6146" max="6146" width="53.7109375" style="1" customWidth="1"/>
    <col min="6147" max="6149" width="20.7109375" style="1" customWidth="1"/>
    <col min="6150" max="6153" width="0" style="1" hidden="1" customWidth="1"/>
    <col min="6154" max="6154" width="13.85546875" style="1" bestFit="1" customWidth="1"/>
    <col min="6155" max="6155" width="13.28515625" style="1" bestFit="1" customWidth="1"/>
    <col min="6156" max="6400" width="11.42578125" style="1"/>
    <col min="6401" max="6401" width="4.7109375" style="1" customWidth="1"/>
    <col min="6402" max="6402" width="53.7109375" style="1" customWidth="1"/>
    <col min="6403" max="6405" width="20.7109375" style="1" customWidth="1"/>
    <col min="6406" max="6409" width="0" style="1" hidden="1" customWidth="1"/>
    <col min="6410" max="6410" width="13.85546875" style="1" bestFit="1" customWidth="1"/>
    <col min="6411" max="6411" width="13.28515625" style="1" bestFit="1" customWidth="1"/>
    <col min="6412" max="6656" width="11.42578125" style="1"/>
    <col min="6657" max="6657" width="4.7109375" style="1" customWidth="1"/>
    <col min="6658" max="6658" width="53.7109375" style="1" customWidth="1"/>
    <col min="6659" max="6661" width="20.7109375" style="1" customWidth="1"/>
    <col min="6662" max="6665" width="0" style="1" hidden="1" customWidth="1"/>
    <col min="6666" max="6666" width="13.85546875" style="1" bestFit="1" customWidth="1"/>
    <col min="6667" max="6667" width="13.28515625" style="1" bestFit="1" customWidth="1"/>
    <col min="6668" max="6912" width="11.42578125" style="1"/>
    <col min="6913" max="6913" width="4.7109375" style="1" customWidth="1"/>
    <col min="6914" max="6914" width="53.7109375" style="1" customWidth="1"/>
    <col min="6915" max="6917" width="20.7109375" style="1" customWidth="1"/>
    <col min="6918" max="6921" width="0" style="1" hidden="1" customWidth="1"/>
    <col min="6922" max="6922" width="13.85546875" style="1" bestFit="1" customWidth="1"/>
    <col min="6923" max="6923" width="13.28515625" style="1" bestFit="1" customWidth="1"/>
    <col min="6924" max="7168" width="11.42578125" style="1"/>
    <col min="7169" max="7169" width="4.7109375" style="1" customWidth="1"/>
    <col min="7170" max="7170" width="53.7109375" style="1" customWidth="1"/>
    <col min="7171" max="7173" width="20.7109375" style="1" customWidth="1"/>
    <col min="7174" max="7177" width="0" style="1" hidden="1" customWidth="1"/>
    <col min="7178" max="7178" width="13.85546875" style="1" bestFit="1" customWidth="1"/>
    <col min="7179" max="7179" width="13.28515625" style="1" bestFit="1" customWidth="1"/>
    <col min="7180" max="7424" width="11.42578125" style="1"/>
    <col min="7425" max="7425" width="4.7109375" style="1" customWidth="1"/>
    <col min="7426" max="7426" width="53.7109375" style="1" customWidth="1"/>
    <col min="7427" max="7429" width="20.7109375" style="1" customWidth="1"/>
    <col min="7430" max="7433" width="0" style="1" hidden="1" customWidth="1"/>
    <col min="7434" max="7434" width="13.85546875" style="1" bestFit="1" customWidth="1"/>
    <col min="7435" max="7435" width="13.28515625" style="1" bestFit="1" customWidth="1"/>
    <col min="7436" max="7680" width="11.42578125" style="1"/>
    <col min="7681" max="7681" width="4.7109375" style="1" customWidth="1"/>
    <col min="7682" max="7682" width="53.7109375" style="1" customWidth="1"/>
    <col min="7683" max="7685" width="20.7109375" style="1" customWidth="1"/>
    <col min="7686" max="7689" width="0" style="1" hidden="1" customWidth="1"/>
    <col min="7690" max="7690" width="13.85546875" style="1" bestFit="1" customWidth="1"/>
    <col min="7691" max="7691" width="13.28515625" style="1" bestFit="1" customWidth="1"/>
    <col min="7692" max="7936" width="11.42578125" style="1"/>
    <col min="7937" max="7937" width="4.7109375" style="1" customWidth="1"/>
    <col min="7938" max="7938" width="53.7109375" style="1" customWidth="1"/>
    <col min="7939" max="7941" width="20.7109375" style="1" customWidth="1"/>
    <col min="7942" max="7945" width="0" style="1" hidden="1" customWidth="1"/>
    <col min="7946" max="7946" width="13.85546875" style="1" bestFit="1" customWidth="1"/>
    <col min="7947" max="7947" width="13.28515625" style="1" bestFit="1" customWidth="1"/>
    <col min="7948" max="8192" width="11.42578125" style="1"/>
    <col min="8193" max="8193" width="4.7109375" style="1" customWidth="1"/>
    <col min="8194" max="8194" width="53.7109375" style="1" customWidth="1"/>
    <col min="8195" max="8197" width="20.7109375" style="1" customWidth="1"/>
    <col min="8198" max="8201" width="0" style="1" hidden="1" customWidth="1"/>
    <col min="8202" max="8202" width="13.85546875" style="1" bestFit="1" customWidth="1"/>
    <col min="8203" max="8203" width="13.28515625" style="1" bestFit="1" customWidth="1"/>
    <col min="8204" max="8448" width="11.42578125" style="1"/>
    <col min="8449" max="8449" width="4.7109375" style="1" customWidth="1"/>
    <col min="8450" max="8450" width="53.7109375" style="1" customWidth="1"/>
    <col min="8451" max="8453" width="20.7109375" style="1" customWidth="1"/>
    <col min="8454" max="8457" width="0" style="1" hidden="1" customWidth="1"/>
    <col min="8458" max="8458" width="13.85546875" style="1" bestFit="1" customWidth="1"/>
    <col min="8459" max="8459" width="13.28515625" style="1" bestFit="1" customWidth="1"/>
    <col min="8460" max="8704" width="11.42578125" style="1"/>
    <col min="8705" max="8705" width="4.7109375" style="1" customWidth="1"/>
    <col min="8706" max="8706" width="53.7109375" style="1" customWidth="1"/>
    <col min="8707" max="8709" width="20.7109375" style="1" customWidth="1"/>
    <col min="8710" max="8713" width="0" style="1" hidden="1" customWidth="1"/>
    <col min="8714" max="8714" width="13.85546875" style="1" bestFit="1" customWidth="1"/>
    <col min="8715" max="8715" width="13.28515625" style="1" bestFit="1" customWidth="1"/>
    <col min="8716" max="8960" width="11.42578125" style="1"/>
    <col min="8961" max="8961" width="4.7109375" style="1" customWidth="1"/>
    <col min="8962" max="8962" width="53.7109375" style="1" customWidth="1"/>
    <col min="8963" max="8965" width="20.7109375" style="1" customWidth="1"/>
    <col min="8966" max="8969" width="0" style="1" hidden="1" customWidth="1"/>
    <col min="8970" max="8970" width="13.85546875" style="1" bestFit="1" customWidth="1"/>
    <col min="8971" max="8971" width="13.28515625" style="1" bestFit="1" customWidth="1"/>
    <col min="8972" max="9216" width="11.42578125" style="1"/>
    <col min="9217" max="9217" width="4.7109375" style="1" customWidth="1"/>
    <col min="9218" max="9218" width="53.7109375" style="1" customWidth="1"/>
    <col min="9219" max="9221" width="20.7109375" style="1" customWidth="1"/>
    <col min="9222" max="9225" width="0" style="1" hidden="1" customWidth="1"/>
    <col min="9226" max="9226" width="13.85546875" style="1" bestFit="1" customWidth="1"/>
    <col min="9227" max="9227" width="13.28515625" style="1" bestFit="1" customWidth="1"/>
    <col min="9228" max="9472" width="11.42578125" style="1"/>
    <col min="9473" max="9473" width="4.7109375" style="1" customWidth="1"/>
    <col min="9474" max="9474" width="53.7109375" style="1" customWidth="1"/>
    <col min="9475" max="9477" width="20.7109375" style="1" customWidth="1"/>
    <col min="9478" max="9481" width="0" style="1" hidden="1" customWidth="1"/>
    <col min="9482" max="9482" width="13.85546875" style="1" bestFit="1" customWidth="1"/>
    <col min="9483" max="9483" width="13.28515625" style="1" bestFit="1" customWidth="1"/>
    <col min="9484" max="9728" width="11.42578125" style="1"/>
    <col min="9729" max="9729" width="4.7109375" style="1" customWidth="1"/>
    <col min="9730" max="9730" width="53.7109375" style="1" customWidth="1"/>
    <col min="9731" max="9733" width="20.7109375" style="1" customWidth="1"/>
    <col min="9734" max="9737" width="0" style="1" hidden="1" customWidth="1"/>
    <col min="9738" max="9738" width="13.85546875" style="1" bestFit="1" customWidth="1"/>
    <col min="9739" max="9739" width="13.28515625" style="1" bestFit="1" customWidth="1"/>
    <col min="9740" max="9984" width="11.42578125" style="1"/>
    <col min="9985" max="9985" width="4.7109375" style="1" customWidth="1"/>
    <col min="9986" max="9986" width="53.7109375" style="1" customWidth="1"/>
    <col min="9987" max="9989" width="20.7109375" style="1" customWidth="1"/>
    <col min="9990" max="9993" width="0" style="1" hidden="1" customWidth="1"/>
    <col min="9994" max="9994" width="13.85546875" style="1" bestFit="1" customWidth="1"/>
    <col min="9995" max="9995" width="13.28515625" style="1" bestFit="1" customWidth="1"/>
    <col min="9996" max="10240" width="11.42578125" style="1"/>
    <col min="10241" max="10241" width="4.7109375" style="1" customWidth="1"/>
    <col min="10242" max="10242" width="53.7109375" style="1" customWidth="1"/>
    <col min="10243" max="10245" width="20.7109375" style="1" customWidth="1"/>
    <col min="10246" max="10249" width="0" style="1" hidden="1" customWidth="1"/>
    <col min="10250" max="10250" width="13.85546875" style="1" bestFit="1" customWidth="1"/>
    <col min="10251" max="10251" width="13.28515625" style="1" bestFit="1" customWidth="1"/>
    <col min="10252" max="10496" width="11.42578125" style="1"/>
    <col min="10497" max="10497" width="4.7109375" style="1" customWidth="1"/>
    <col min="10498" max="10498" width="53.7109375" style="1" customWidth="1"/>
    <col min="10499" max="10501" width="20.7109375" style="1" customWidth="1"/>
    <col min="10502" max="10505" width="0" style="1" hidden="1" customWidth="1"/>
    <col min="10506" max="10506" width="13.85546875" style="1" bestFit="1" customWidth="1"/>
    <col min="10507" max="10507" width="13.28515625" style="1" bestFit="1" customWidth="1"/>
    <col min="10508" max="10752" width="11.42578125" style="1"/>
    <col min="10753" max="10753" width="4.7109375" style="1" customWidth="1"/>
    <col min="10754" max="10754" width="53.7109375" style="1" customWidth="1"/>
    <col min="10755" max="10757" width="20.7109375" style="1" customWidth="1"/>
    <col min="10758" max="10761" width="0" style="1" hidden="1" customWidth="1"/>
    <col min="10762" max="10762" width="13.85546875" style="1" bestFit="1" customWidth="1"/>
    <col min="10763" max="10763" width="13.28515625" style="1" bestFit="1" customWidth="1"/>
    <col min="10764" max="11008" width="11.42578125" style="1"/>
    <col min="11009" max="11009" width="4.7109375" style="1" customWidth="1"/>
    <col min="11010" max="11010" width="53.7109375" style="1" customWidth="1"/>
    <col min="11011" max="11013" width="20.7109375" style="1" customWidth="1"/>
    <col min="11014" max="11017" width="0" style="1" hidden="1" customWidth="1"/>
    <col min="11018" max="11018" width="13.85546875" style="1" bestFit="1" customWidth="1"/>
    <col min="11019" max="11019" width="13.28515625" style="1" bestFit="1" customWidth="1"/>
    <col min="11020" max="11264" width="11.42578125" style="1"/>
    <col min="11265" max="11265" width="4.7109375" style="1" customWidth="1"/>
    <col min="11266" max="11266" width="53.7109375" style="1" customWidth="1"/>
    <col min="11267" max="11269" width="20.7109375" style="1" customWidth="1"/>
    <col min="11270" max="11273" width="0" style="1" hidden="1" customWidth="1"/>
    <col min="11274" max="11274" width="13.85546875" style="1" bestFit="1" customWidth="1"/>
    <col min="11275" max="11275" width="13.28515625" style="1" bestFit="1" customWidth="1"/>
    <col min="11276" max="11520" width="11.42578125" style="1"/>
    <col min="11521" max="11521" width="4.7109375" style="1" customWidth="1"/>
    <col min="11522" max="11522" width="53.7109375" style="1" customWidth="1"/>
    <col min="11523" max="11525" width="20.7109375" style="1" customWidth="1"/>
    <col min="11526" max="11529" width="0" style="1" hidden="1" customWidth="1"/>
    <col min="11530" max="11530" width="13.85546875" style="1" bestFit="1" customWidth="1"/>
    <col min="11531" max="11531" width="13.28515625" style="1" bestFit="1" customWidth="1"/>
    <col min="11532" max="11776" width="11.42578125" style="1"/>
    <col min="11777" max="11777" width="4.7109375" style="1" customWidth="1"/>
    <col min="11778" max="11778" width="53.7109375" style="1" customWidth="1"/>
    <col min="11779" max="11781" width="20.7109375" style="1" customWidth="1"/>
    <col min="11782" max="11785" width="0" style="1" hidden="1" customWidth="1"/>
    <col min="11786" max="11786" width="13.85546875" style="1" bestFit="1" customWidth="1"/>
    <col min="11787" max="11787" width="13.28515625" style="1" bestFit="1" customWidth="1"/>
    <col min="11788" max="12032" width="11.42578125" style="1"/>
    <col min="12033" max="12033" width="4.7109375" style="1" customWidth="1"/>
    <col min="12034" max="12034" width="53.7109375" style="1" customWidth="1"/>
    <col min="12035" max="12037" width="20.7109375" style="1" customWidth="1"/>
    <col min="12038" max="12041" width="0" style="1" hidden="1" customWidth="1"/>
    <col min="12042" max="12042" width="13.85546875" style="1" bestFit="1" customWidth="1"/>
    <col min="12043" max="12043" width="13.28515625" style="1" bestFit="1" customWidth="1"/>
    <col min="12044" max="12288" width="11.42578125" style="1"/>
    <col min="12289" max="12289" width="4.7109375" style="1" customWidth="1"/>
    <col min="12290" max="12290" width="53.7109375" style="1" customWidth="1"/>
    <col min="12291" max="12293" width="20.7109375" style="1" customWidth="1"/>
    <col min="12294" max="12297" width="0" style="1" hidden="1" customWidth="1"/>
    <col min="12298" max="12298" width="13.85546875" style="1" bestFit="1" customWidth="1"/>
    <col min="12299" max="12299" width="13.28515625" style="1" bestFit="1" customWidth="1"/>
    <col min="12300" max="12544" width="11.42578125" style="1"/>
    <col min="12545" max="12545" width="4.7109375" style="1" customWidth="1"/>
    <col min="12546" max="12546" width="53.7109375" style="1" customWidth="1"/>
    <col min="12547" max="12549" width="20.7109375" style="1" customWidth="1"/>
    <col min="12550" max="12553" width="0" style="1" hidden="1" customWidth="1"/>
    <col min="12554" max="12554" width="13.85546875" style="1" bestFit="1" customWidth="1"/>
    <col min="12555" max="12555" width="13.28515625" style="1" bestFit="1" customWidth="1"/>
    <col min="12556" max="12800" width="11.42578125" style="1"/>
    <col min="12801" max="12801" width="4.7109375" style="1" customWidth="1"/>
    <col min="12802" max="12802" width="53.7109375" style="1" customWidth="1"/>
    <col min="12803" max="12805" width="20.7109375" style="1" customWidth="1"/>
    <col min="12806" max="12809" width="0" style="1" hidden="1" customWidth="1"/>
    <col min="12810" max="12810" width="13.85546875" style="1" bestFit="1" customWidth="1"/>
    <col min="12811" max="12811" width="13.28515625" style="1" bestFit="1" customWidth="1"/>
    <col min="12812" max="13056" width="11.42578125" style="1"/>
    <col min="13057" max="13057" width="4.7109375" style="1" customWidth="1"/>
    <col min="13058" max="13058" width="53.7109375" style="1" customWidth="1"/>
    <col min="13059" max="13061" width="20.7109375" style="1" customWidth="1"/>
    <col min="13062" max="13065" width="0" style="1" hidden="1" customWidth="1"/>
    <col min="13066" max="13066" width="13.85546875" style="1" bestFit="1" customWidth="1"/>
    <col min="13067" max="13067" width="13.28515625" style="1" bestFit="1" customWidth="1"/>
    <col min="13068" max="13312" width="11.42578125" style="1"/>
    <col min="13313" max="13313" width="4.7109375" style="1" customWidth="1"/>
    <col min="13314" max="13314" width="53.7109375" style="1" customWidth="1"/>
    <col min="13315" max="13317" width="20.7109375" style="1" customWidth="1"/>
    <col min="13318" max="13321" width="0" style="1" hidden="1" customWidth="1"/>
    <col min="13322" max="13322" width="13.85546875" style="1" bestFit="1" customWidth="1"/>
    <col min="13323" max="13323" width="13.28515625" style="1" bestFit="1" customWidth="1"/>
    <col min="13324" max="13568" width="11.42578125" style="1"/>
    <col min="13569" max="13569" width="4.7109375" style="1" customWidth="1"/>
    <col min="13570" max="13570" width="53.7109375" style="1" customWidth="1"/>
    <col min="13571" max="13573" width="20.7109375" style="1" customWidth="1"/>
    <col min="13574" max="13577" width="0" style="1" hidden="1" customWidth="1"/>
    <col min="13578" max="13578" width="13.85546875" style="1" bestFit="1" customWidth="1"/>
    <col min="13579" max="13579" width="13.28515625" style="1" bestFit="1" customWidth="1"/>
    <col min="13580" max="13824" width="11.42578125" style="1"/>
    <col min="13825" max="13825" width="4.7109375" style="1" customWidth="1"/>
    <col min="13826" max="13826" width="53.7109375" style="1" customWidth="1"/>
    <col min="13827" max="13829" width="20.7109375" style="1" customWidth="1"/>
    <col min="13830" max="13833" width="0" style="1" hidden="1" customWidth="1"/>
    <col min="13834" max="13834" width="13.85546875" style="1" bestFit="1" customWidth="1"/>
    <col min="13835" max="13835" width="13.28515625" style="1" bestFit="1" customWidth="1"/>
    <col min="13836" max="14080" width="11.42578125" style="1"/>
    <col min="14081" max="14081" width="4.7109375" style="1" customWidth="1"/>
    <col min="14082" max="14082" width="53.7109375" style="1" customWidth="1"/>
    <col min="14083" max="14085" width="20.7109375" style="1" customWidth="1"/>
    <col min="14086" max="14089" width="0" style="1" hidden="1" customWidth="1"/>
    <col min="14090" max="14090" width="13.85546875" style="1" bestFit="1" customWidth="1"/>
    <col min="14091" max="14091" width="13.28515625" style="1" bestFit="1" customWidth="1"/>
    <col min="14092" max="14336" width="11.42578125" style="1"/>
    <col min="14337" max="14337" width="4.7109375" style="1" customWidth="1"/>
    <col min="14338" max="14338" width="53.7109375" style="1" customWidth="1"/>
    <col min="14339" max="14341" width="20.7109375" style="1" customWidth="1"/>
    <col min="14342" max="14345" width="0" style="1" hidden="1" customWidth="1"/>
    <col min="14346" max="14346" width="13.85546875" style="1" bestFit="1" customWidth="1"/>
    <col min="14347" max="14347" width="13.28515625" style="1" bestFit="1" customWidth="1"/>
    <col min="14348" max="14592" width="11.42578125" style="1"/>
    <col min="14593" max="14593" width="4.7109375" style="1" customWidth="1"/>
    <col min="14594" max="14594" width="53.7109375" style="1" customWidth="1"/>
    <col min="14595" max="14597" width="20.7109375" style="1" customWidth="1"/>
    <col min="14598" max="14601" width="0" style="1" hidden="1" customWidth="1"/>
    <col min="14602" max="14602" width="13.85546875" style="1" bestFit="1" customWidth="1"/>
    <col min="14603" max="14603" width="13.28515625" style="1" bestFit="1" customWidth="1"/>
    <col min="14604" max="14848" width="11.42578125" style="1"/>
    <col min="14849" max="14849" width="4.7109375" style="1" customWidth="1"/>
    <col min="14850" max="14850" width="53.7109375" style="1" customWidth="1"/>
    <col min="14851" max="14853" width="20.7109375" style="1" customWidth="1"/>
    <col min="14854" max="14857" width="0" style="1" hidden="1" customWidth="1"/>
    <col min="14858" max="14858" width="13.85546875" style="1" bestFit="1" customWidth="1"/>
    <col min="14859" max="14859" width="13.28515625" style="1" bestFit="1" customWidth="1"/>
    <col min="14860" max="15104" width="11.42578125" style="1"/>
    <col min="15105" max="15105" width="4.7109375" style="1" customWidth="1"/>
    <col min="15106" max="15106" width="53.7109375" style="1" customWidth="1"/>
    <col min="15107" max="15109" width="20.7109375" style="1" customWidth="1"/>
    <col min="15110" max="15113" width="0" style="1" hidden="1" customWidth="1"/>
    <col min="15114" max="15114" width="13.85546875" style="1" bestFit="1" customWidth="1"/>
    <col min="15115" max="15115" width="13.28515625" style="1" bestFit="1" customWidth="1"/>
    <col min="15116" max="15360" width="11.42578125" style="1"/>
    <col min="15361" max="15361" width="4.7109375" style="1" customWidth="1"/>
    <col min="15362" max="15362" width="53.7109375" style="1" customWidth="1"/>
    <col min="15363" max="15365" width="20.7109375" style="1" customWidth="1"/>
    <col min="15366" max="15369" width="0" style="1" hidden="1" customWidth="1"/>
    <col min="15370" max="15370" width="13.85546875" style="1" bestFit="1" customWidth="1"/>
    <col min="15371" max="15371" width="13.28515625" style="1" bestFit="1" customWidth="1"/>
    <col min="15372" max="15616" width="11.42578125" style="1"/>
    <col min="15617" max="15617" width="4.7109375" style="1" customWidth="1"/>
    <col min="15618" max="15618" width="53.7109375" style="1" customWidth="1"/>
    <col min="15619" max="15621" width="20.7109375" style="1" customWidth="1"/>
    <col min="15622" max="15625" width="0" style="1" hidden="1" customWidth="1"/>
    <col min="15626" max="15626" width="13.85546875" style="1" bestFit="1" customWidth="1"/>
    <col min="15627" max="15627" width="13.28515625" style="1" bestFit="1" customWidth="1"/>
    <col min="15628" max="15872" width="11.42578125" style="1"/>
    <col min="15873" max="15873" width="4.7109375" style="1" customWidth="1"/>
    <col min="15874" max="15874" width="53.7109375" style="1" customWidth="1"/>
    <col min="15875" max="15877" width="20.7109375" style="1" customWidth="1"/>
    <col min="15878" max="15881" width="0" style="1" hidden="1" customWidth="1"/>
    <col min="15882" max="15882" width="13.85546875" style="1" bestFit="1" customWidth="1"/>
    <col min="15883" max="15883" width="13.28515625" style="1" bestFit="1" customWidth="1"/>
    <col min="15884" max="16128" width="11.42578125" style="1"/>
    <col min="16129" max="16129" width="4.7109375" style="1" customWidth="1"/>
    <col min="16130" max="16130" width="53.7109375" style="1" customWidth="1"/>
    <col min="16131" max="16133" width="20.7109375" style="1" customWidth="1"/>
    <col min="16134" max="16137" width="0" style="1" hidden="1" customWidth="1"/>
    <col min="16138" max="16138" width="13.85546875" style="1" bestFit="1" customWidth="1"/>
    <col min="16139" max="16139" width="13.28515625" style="1" bestFit="1" customWidth="1"/>
    <col min="16140" max="16384" width="11.42578125" style="1"/>
  </cols>
  <sheetData>
    <row r="1" spans="2:9" ht="15" customHeight="1" x14ac:dyDescent="0.25"/>
    <row r="2" spans="2:9" ht="15" customHeight="1" x14ac:dyDescent="0.25"/>
    <row r="3" spans="2:9" ht="22.5" customHeight="1" x14ac:dyDescent="0.25">
      <c r="B3" s="370"/>
      <c r="C3" s="370"/>
      <c r="D3" s="370"/>
      <c r="E3" s="370"/>
      <c r="H3" s="1"/>
    </row>
    <row r="4" spans="2:9" ht="18" customHeight="1" thickBot="1" x14ac:dyDescent="0.3">
      <c r="C4" s="334" t="s">
        <v>357</v>
      </c>
      <c r="D4" s="4"/>
    </row>
    <row r="5" spans="2:9" ht="18" customHeight="1" thickTop="1" thickBot="1" x14ac:dyDescent="0.3">
      <c r="B5" s="9" t="s">
        <v>354</v>
      </c>
      <c r="C5" s="4"/>
      <c r="D5" s="4"/>
      <c r="E5" s="252" t="s">
        <v>361</v>
      </c>
    </row>
    <row r="6" spans="2:9" ht="18" customHeight="1" thickTop="1" x14ac:dyDescent="0.25">
      <c r="B6" s="9" t="s">
        <v>355</v>
      </c>
      <c r="C6" s="4"/>
      <c r="D6" s="4"/>
    </row>
    <row r="7" spans="2:9" ht="18" customHeight="1" x14ac:dyDescent="0.25">
      <c r="B7" s="9" t="s">
        <v>356</v>
      </c>
      <c r="C7" s="4"/>
      <c r="D7" s="4"/>
    </row>
    <row r="8" spans="2:9" ht="12.75" customHeight="1" x14ac:dyDescent="0.25">
      <c r="B8" s="7" t="s">
        <v>1</v>
      </c>
      <c r="C8" s="4"/>
      <c r="D8" s="4"/>
      <c r="E8" s="89"/>
      <c r="H8" s="89"/>
    </row>
    <row r="9" spans="2:9" ht="5.0999999999999996" customHeight="1" x14ac:dyDescent="0.25">
      <c r="B9" s="4"/>
      <c r="C9" s="4"/>
      <c r="D9" s="4"/>
      <c r="E9" s="89"/>
      <c r="H9" s="89"/>
    </row>
    <row r="10" spans="2:9" ht="5.0999999999999996" customHeight="1" thickBot="1" x14ac:dyDescent="0.3">
      <c r="B10" s="4"/>
      <c r="C10" s="4"/>
      <c r="D10" s="4"/>
      <c r="E10" s="89"/>
      <c r="H10" s="89"/>
    </row>
    <row r="11" spans="2:9" ht="15.75" x14ac:dyDescent="0.25">
      <c r="B11" s="76"/>
      <c r="C11" s="77" t="str">
        <f>BALANCE!E11</f>
        <v>PRESUPUESTO</v>
      </c>
      <c r="D11" s="17" t="str">
        <f>BALANCE!F11</f>
        <v>REAL</v>
      </c>
      <c r="E11" s="356" t="str">
        <f>BALANCE!G11</f>
        <v>PRESUPUESTO</v>
      </c>
      <c r="G11" s="127"/>
      <c r="H11" s="18" t="s">
        <v>194</v>
      </c>
      <c r="I11" s="18" t="s">
        <v>195</v>
      </c>
    </row>
    <row r="12" spans="2:9" ht="16.5" thickBot="1" x14ac:dyDescent="0.3">
      <c r="B12" s="78"/>
      <c r="C12" s="180">
        <f>BALANCE!E12</f>
        <v>43100</v>
      </c>
      <c r="D12" s="181" t="str">
        <f>BALANCE!F12</f>
        <v>CIERRE 2017</v>
      </c>
      <c r="E12" s="357">
        <f>BALANCE!G12</f>
        <v>43465</v>
      </c>
      <c r="G12" s="19"/>
      <c r="H12" s="20" t="s">
        <v>196</v>
      </c>
      <c r="I12" s="20"/>
    </row>
    <row r="13" spans="2:9" ht="14.1" customHeight="1" thickTop="1" x14ac:dyDescent="0.25">
      <c r="B13" s="81"/>
      <c r="C13" s="141"/>
      <c r="D13" s="351"/>
      <c r="E13" s="142"/>
      <c r="G13" s="3"/>
      <c r="H13" s="142"/>
      <c r="I13" s="10"/>
    </row>
    <row r="14" spans="2:9" ht="14.1" customHeight="1" x14ac:dyDescent="0.25">
      <c r="B14" s="83" t="s">
        <v>197</v>
      </c>
      <c r="C14" s="143"/>
      <c r="D14" s="35"/>
      <c r="E14" s="44"/>
      <c r="G14" s="3"/>
      <c r="H14" s="44"/>
      <c r="I14" s="10"/>
    </row>
    <row r="15" spans="2:9" ht="14.1" customHeight="1" x14ac:dyDescent="0.25">
      <c r="B15" s="93" t="s">
        <v>198</v>
      </c>
      <c r="C15" s="98">
        <v>22357953.620000005</v>
      </c>
      <c r="D15" s="36">
        <v>26316964.260000005</v>
      </c>
      <c r="E15" s="44">
        <v>20039591.370000001</v>
      </c>
      <c r="G15" s="3"/>
      <c r="H15" s="44" t="e">
        <v>#REF!</v>
      </c>
      <c r="I15" s="44" t="e">
        <v>#REF!</v>
      </c>
    </row>
    <row r="16" spans="2:9" ht="14.1" customHeight="1" x14ac:dyDescent="0.25">
      <c r="B16" s="93" t="s">
        <v>199</v>
      </c>
      <c r="C16" s="98">
        <v>13375896.08</v>
      </c>
      <c r="D16" s="36">
        <v>7506514.3200000003</v>
      </c>
      <c r="E16" s="44">
        <v>10541045</v>
      </c>
      <c r="F16" s="19" t="str">
        <f>D11</f>
        <v>REAL</v>
      </c>
      <c r="G16" s="366" t="s">
        <v>7</v>
      </c>
      <c r="H16" s="44" t="e">
        <f>SUM(H17:H27)</f>
        <v>#REF!</v>
      </c>
      <c r="I16" s="44" t="e">
        <f>SUM(I17:I27)</f>
        <v>#REF!</v>
      </c>
    </row>
    <row r="17" spans="1:11" ht="14.1" customHeight="1" x14ac:dyDescent="0.25">
      <c r="B17" s="38" t="s">
        <v>200</v>
      </c>
      <c r="C17" s="98">
        <v>9225896.0800000001</v>
      </c>
      <c r="D17" s="36">
        <v>9283928.7699999996</v>
      </c>
      <c r="E17" s="44">
        <v>9341045</v>
      </c>
      <c r="F17" s="145" t="str">
        <f>$D$12</f>
        <v>CIERRE 2017</v>
      </c>
      <c r="G17" s="372"/>
      <c r="H17" s="44" t="e">
        <v>#REF!</v>
      </c>
      <c r="I17" s="44" t="e">
        <v>#REF!</v>
      </c>
    </row>
    <row r="18" spans="1:11" ht="14.1" customHeight="1" x14ac:dyDescent="0.25">
      <c r="B18" s="87" t="s">
        <v>201</v>
      </c>
      <c r="C18" s="329">
        <v>2000000</v>
      </c>
      <c r="D18" s="36">
        <v>-2187220.25</v>
      </c>
      <c r="E18" s="44"/>
      <c r="F18" s="373">
        <v>-1439673.28</v>
      </c>
      <c r="G18" s="375">
        <v>-1281385.52</v>
      </c>
      <c r="H18" s="40" t="e">
        <v>#REF!</v>
      </c>
      <c r="I18" s="40" t="e">
        <v>#REF!</v>
      </c>
    </row>
    <row r="19" spans="1:11" ht="14.1" customHeight="1" x14ac:dyDescent="0.25">
      <c r="B19" s="87" t="s">
        <v>202</v>
      </c>
      <c r="C19" s="329">
        <v>1000000</v>
      </c>
      <c r="D19" s="36">
        <v>905834.73</v>
      </c>
      <c r="E19" s="44">
        <v>2000000</v>
      </c>
      <c r="F19" s="374"/>
      <c r="G19" s="376"/>
      <c r="H19" s="40">
        <v>1607790.11</v>
      </c>
      <c r="I19" s="146">
        <v>1607790.11</v>
      </c>
    </row>
    <row r="20" spans="1:11" ht="14.1" customHeight="1" x14ac:dyDescent="0.25">
      <c r="B20" s="87" t="s">
        <v>203</v>
      </c>
      <c r="C20" s="98">
        <v>-4500000</v>
      </c>
      <c r="D20" s="36">
        <v>-3863165.89</v>
      </c>
      <c r="E20" s="44">
        <v>-4500000</v>
      </c>
      <c r="F20" s="69">
        <f>F18-D18-D19</f>
        <v>-158287.76</v>
      </c>
      <c r="G20" s="3"/>
      <c r="H20" s="44" t="e">
        <v>#REF!</v>
      </c>
      <c r="I20" s="44" t="e">
        <v>#REF!</v>
      </c>
    </row>
    <row r="21" spans="1:11" ht="14.1" customHeight="1" x14ac:dyDescent="0.25">
      <c r="B21" s="38" t="s">
        <v>204</v>
      </c>
      <c r="C21" s="98">
        <v>0</v>
      </c>
      <c r="D21" s="36">
        <v>-288949.23</v>
      </c>
      <c r="E21" s="44">
        <v>0</v>
      </c>
      <c r="G21" s="3"/>
      <c r="H21" s="44" t="e">
        <v>#REF!</v>
      </c>
      <c r="I21" s="44" t="e">
        <v>#REF!</v>
      </c>
    </row>
    <row r="22" spans="1:11" ht="14.1" customHeight="1" x14ac:dyDescent="0.25">
      <c r="A22" s="91"/>
      <c r="B22" s="38" t="s">
        <v>205</v>
      </c>
      <c r="C22" s="98">
        <v>0</v>
      </c>
      <c r="D22" s="36">
        <v>0</v>
      </c>
      <c r="E22" s="44">
        <v>0</v>
      </c>
      <c r="G22" s="3"/>
      <c r="H22" s="44" t="e">
        <v>#REF!</v>
      </c>
      <c r="I22" s="44" t="e">
        <v>#REF!</v>
      </c>
    </row>
    <row r="23" spans="1:11" ht="14.1" customHeight="1" x14ac:dyDescent="0.25">
      <c r="A23" s="91"/>
      <c r="B23" s="87" t="s">
        <v>206</v>
      </c>
      <c r="C23" s="98">
        <v>-350000</v>
      </c>
      <c r="D23" s="36">
        <v>-276640.07</v>
      </c>
      <c r="E23" s="44">
        <v>-300000</v>
      </c>
      <c r="G23" s="3"/>
      <c r="H23" s="44" t="e">
        <v>#REF!</v>
      </c>
      <c r="I23" s="44" t="e">
        <v>#REF!</v>
      </c>
    </row>
    <row r="24" spans="1:11" ht="14.1" customHeight="1" x14ac:dyDescent="0.25">
      <c r="A24" s="91"/>
      <c r="B24" s="87" t="s">
        <v>207</v>
      </c>
      <c r="C24" s="98">
        <v>6000000</v>
      </c>
      <c r="D24" s="36">
        <v>3932726.26</v>
      </c>
      <c r="E24" s="44">
        <v>4000000</v>
      </c>
      <c r="H24" s="44" t="e">
        <v>#REF!</v>
      </c>
      <c r="I24" s="44" t="e">
        <v>#REF!</v>
      </c>
    </row>
    <row r="25" spans="1:11" ht="14.1" customHeight="1" x14ac:dyDescent="0.25">
      <c r="B25" s="87" t="s">
        <v>208</v>
      </c>
      <c r="C25" s="143">
        <v>0</v>
      </c>
      <c r="D25" s="36">
        <v>0</v>
      </c>
      <c r="E25" s="44">
        <v>0</v>
      </c>
      <c r="H25" s="44" t="e">
        <v>#REF!</v>
      </c>
      <c r="I25" s="44" t="e">
        <v>#REF!</v>
      </c>
    </row>
    <row r="26" spans="1:11" ht="14.1" customHeight="1" x14ac:dyDescent="0.25">
      <c r="B26" s="87" t="s">
        <v>209</v>
      </c>
      <c r="C26" s="143">
        <v>0</v>
      </c>
      <c r="D26" s="36">
        <v>0</v>
      </c>
      <c r="E26" s="44">
        <v>0</v>
      </c>
      <c r="F26" s="19" t="s">
        <v>5</v>
      </c>
      <c r="G26" s="366" t="str">
        <f>G16</f>
        <v>PREV.CIERRE</v>
      </c>
      <c r="H26" s="44" t="e">
        <v>#REF!</v>
      </c>
      <c r="I26" s="44" t="e">
        <v>#REF!</v>
      </c>
    </row>
    <row r="27" spans="1:11" ht="14.1" customHeight="1" x14ac:dyDescent="0.25">
      <c r="B27" s="87" t="s">
        <v>210</v>
      </c>
      <c r="C27" s="102"/>
      <c r="D27" s="39"/>
      <c r="E27" s="40"/>
      <c r="F27" s="145" t="str">
        <f>$D$12</f>
        <v>CIERRE 2017</v>
      </c>
      <c r="G27" s="372"/>
      <c r="H27" s="40"/>
      <c r="I27" s="40"/>
    </row>
    <row r="28" spans="1:11" ht="14.1" customHeight="1" x14ac:dyDescent="0.25">
      <c r="B28" s="94" t="s">
        <v>211</v>
      </c>
      <c r="C28" s="98">
        <v>7571374</v>
      </c>
      <c r="D28" s="36">
        <v>-17947126.96999998</v>
      </c>
      <c r="E28" s="44">
        <f>+E30+E32+E34</f>
        <v>23769863.550000001</v>
      </c>
      <c r="F28" s="147">
        <f t="shared" ref="F28:H28" si="0">SUM(F29:F34)</f>
        <v>79896756.530000001</v>
      </c>
      <c r="G28" s="148">
        <f t="shared" si="0"/>
        <v>46173170.360000022</v>
      </c>
      <c r="H28" s="44" t="e">
        <f t="shared" si="0"/>
        <v>#REF!</v>
      </c>
      <c r="I28" s="44" t="e">
        <f>SUM(I29:I34)</f>
        <v>#REF!</v>
      </c>
    </row>
    <row r="29" spans="1:11" ht="14.1" customHeight="1" x14ac:dyDescent="0.25">
      <c r="B29" s="87" t="s">
        <v>212</v>
      </c>
      <c r="C29" s="102"/>
      <c r="D29" s="39"/>
      <c r="E29" s="40"/>
      <c r="F29" s="42">
        <v>67872715.909999996</v>
      </c>
      <c r="G29" s="149">
        <v>61477258.810000002</v>
      </c>
      <c r="H29" s="40"/>
      <c r="I29" s="40"/>
    </row>
    <row r="30" spans="1:11" ht="14.1" customHeight="1" x14ac:dyDescent="0.25">
      <c r="B30" s="95" t="s">
        <v>213</v>
      </c>
      <c r="C30" s="102">
        <v>2648136</v>
      </c>
      <c r="D30" s="39">
        <v>-8379118.1199999899</v>
      </c>
      <c r="E30" s="40">
        <v>39926851.640000001</v>
      </c>
      <c r="F30" s="42">
        <v>25247105.519999996</v>
      </c>
      <c r="G30" s="149">
        <v>-8379118.1199999899</v>
      </c>
      <c r="H30" s="40" t="e">
        <v>#REF!</v>
      </c>
      <c r="I30" s="40">
        <v>1631426.71</v>
      </c>
      <c r="K30" s="48"/>
    </row>
    <row r="31" spans="1:11" ht="14.1" customHeight="1" x14ac:dyDescent="0.25">
      <c r="B31" s="95" t="s">
        <v>214</v>
      </c>
      <c r="C31" s="102"/>
      <c r="D31" s="39">
        <v>2.9103830456733704E-10</v>
      </c>
      <c r="E31" s="40"/>
      <c r="F31" s="42">
        <v>0</v>
      </c>
      <c r="G31" s="149">
        <v>0</v>
      </c>
      <c r="H31" s="40" t="e">
        <v>#REF!</v>
      </c>
      <c r="I31" s="40"/>
    </row>
    <row r="32" spans="1:11" ht="14.1" customHeight="1" x14ac:dyDescent="0.25">
      <c r="B32" s="95" t="s">
        <v>215</v>
      </c>
      <c r="C32" s="102">
        <v>4923238</v>
      </c>
      <c r="D32" s="39">
        <v>-9476645.2899999917</v>
      </c>
      <c r="E32" s="40">
        <v>-12656988.09</v>
      </c>
      <c r="F32" s="42">
        <v>-11567627.499999993</v>
      </c>
      <c r="G32" s="149">
        <v>-9476645.2899999917</v>
      </c>
      <c r="H32" s="101">
        <v>-10386394.619999999</v>
      </c>
      <c r="I32" s="101" t="e">
        <v>#REF!</v>
      </c>
    </row>
    <row r="33" spans="2:11" ht="14.1" customHeight="1" x14ac:dyDescent="0.25">
      <c r="B33" s="95" t="s">
        <v>216</v>
      </c>
      <c r="C33" s="102"/>
      <c r="D33" s="39">
        <v>-91363.560000000027</v>
      </c>
      <c r="E33" s="40"/>
      <c r="F33" s="42">
        <v>-1655437.4000000004</v>
      </c>
      <c r="G33" s="149">
        <v>2551674.959999999</v>
      </c>
      <c r="H33" s="40" t="e">
        <v>#REF!</v>
      </c>
      <c r="I33" s="40" t="e">
        <v>#REF!</v>
      </c>
    </row>
    <row r="34" spans="2:11" ht="14.1" customHeight="1" x14ac:dyDescent="0.25">
      <c r="B34" s="95" t="s">
        <v>217</v>
      </c>
      <c r="C34" s="102"/>
      <c r="D34" s="39"/>
      <c r="E34" s="40">
        <v>-3500000</v>
      </c>
      <c r="F34" s="150">
        <v>0</v>
      </c>
      <c r="G34" s="151">
        <v>0</v>
      </c>
      <c r="H34" s="40"/>
      <c r="I34" s="40"/>
    </row>
    <row r="35" spans="2:11" ht="14.1" customHeight="1" x14ac:dyDescent="0.25">
      <c r="B35" s="100" t="s">
        <v>218</v>
      </c>
      <c r="C35" s="98">
        <v>-10117048.800000001</v>
      </c>
      <c r="D35" s="36">
        <v>-14098627.33</v>
      </c>
      <c r="E35" s="44">
        <f>+E40+E39+E38+E37+E36</f>
        <v>-8430574.400000019</v>
      </c>
      <c r="H35" s="44" t="e">
        <f>SUM(H36:H40)</f>
        <v>#REF!</v>
      </c>
      <c r="I35" s="44" t="e">
        <f>SUM(I36:I40)</f>
        <v>#REF!</v>
      </c>
    </row>
    <row r="36" spans="2:11" ht="14.1" customHeight="1" x14ac:dyDescent="0.25">
      <c r="B36" s="95" t="s">
        <v>219</v>
      </c>
      <c r="C36" s="102">
        <v>-5600000</v>
      </c>
      <c r="D36" s="39">
        <v>-3957791.4299999997</v>
      </c>
      <c r="E36" s="40">
        <v>-4165972.17</v>
      </c>
      <c r="H36" s="101" t="e">
        <v>#REF!</v>
      </c>
      <c r="I36" s="101" t="e">
        <v>#REF!</v>
      </c>
      <c r="J36" s="48"/>
      <c r="K36" s="5"/>
    </row>
    <row r="37" spans="2:11" ht="14.1" customHeight="1" x14ac:dyDescent="0.25">
      <c r="B37" s="95" t="s">
        <v>220</v>
      </c>
      <c r="C37" s="102"/>
      <c r="D37" s="39"/>
      <c r="E37" s="40"/>
      <c r="H37" s="40"/>
      <c r="I37" s="40"/>
    </row>
    <row r="38" spans="2:11" ht="14.1" customHeight="1" x14ac:dyDescent="0.25">
      <c r="B38" s="95" t="s">
        <v>221</v>
      </c>
      <c r="C38" s="102">
        <v>350000</v>
      </c>
      <c r="D38" s="39">
        <v>276640.07</v>
      </c>
      <c r="E38" s="40">
        <v>300000</v>
      </c>
      <c r="H38" s="40" t="e">
        <v>#REF!</v>
      </c>
      <c r="I38" s="40" t="e">
        <v>#REF!</v>
      </c>
    </row>
    <row r="39" spans="2:11" ht="14.1" customHeight="1" x14ac:dyDescent="0.25">
      <c r="B39" s="95" t="s">
        <v>222</v>
      </c>
      <c r="C39" s="152">
        <v>-17198.29</v>
      </c>
      <c r="D39" s="36">
        <v>-10675.82</v>
      </c>
      <c r="E39" s="44">
        <v>675.81999999999971</v>
      </c>
      <c r="H39" s="62">
        <v>-4440.13</v>
      </c>
      <c r="I39" s="62">
        <v>-4440.13</v>
      </c>
      <c r="J39" s="48"/>
    </row>
    <row r="40" spans="2:11" ht="14.1" customHeight="1" x14ac:dyDescent="0.25">
      <c r="B40" s="95" t="s">
        <v>223</v>
      </c>
      <c r="C40" s="153">
        <v>-4849850.51</v>
      </c>
      <c r="D40" s="117">
        <v>-10406800.15</v>
      </c>
      <c r="E40" s="358">
        <f>-4565278.59000002+0.41-0.1+0.23</f>
        <v>-4565278.0500000194</v>
      </c>
      <c r="H40" s="154">
        <v>-1576467.27</v>
      </c>
      <c r="I40" s="146">
        <v>-1573342.27</v>
      </c>
      <c r="J40" s="48"/>
    </row>
    <row r="41" spans="2:11" ht="14.1" customHeight="1" x14ac:dyDescent="0.25">
      <c r="B41" s="155" t="s">
        <v>224</v>
      </c>
      <c r="C41" s="156">
        <v>33188174.900000002</v>
      </c>
      <c r="D41" s="104">
        <v>1777724.2800000254</v>
      </c>
      <c r="E41" s="105">
        <f>+E35+E28+E16+E15</f>
        <v>45919925.519999981</v>
      </c>
      <c r="H41" s="105" t="e">
        <f>H15+H16+H28+H35</f>
        <v>#REF!</v>
      </c>
      <c r="I41" s="105" t="e">
        <f>I15+I16+I28+I35</f>
        <v>#REF!</v>
      </c>
    </row>
    <row r="42" spans="2:11" ht="14.1" customHeight="1" x14ac:dyDescent="0.25">
      <c r="B42" s="100"/>
      <c r="C42" s="158"/>
      <c r="D42" s="352"/>
      <c r="E42" s="159"/>
      <c r="H42" s="159"/>
      <c r="I42" s="159"/>
    </row>
    <row r="43" spans="2:11" ht="14.1" customHeight="1" x14ac:dyDescent="0.25">
      <c r="B43" s="160" t="s">
        <v>225</v>
      </c>
      <c r="C43" s="143"/>
      <c r="D43" s="36"/>
      <c r="E43" s="44"/>
      <c r="F43" s="19" t="s">
        <v>5</v>
      </c>
      <c r="G43" s="366" t="str">
        <f>G26</f>
        <v>PREV.CIERRE</v>
      </c>
      <c r="H43" s="44"/>
      <c r="I43" s="44"/>
    </row>
    <row r="44" spans="2:11" ht="14.1" customHeight="1" x14ac:dyDescent="0.25">
      <c r="B44" s="97" t="s">
        <v>226</v>
      </c>
      <c r="C44" s="98">
        <v>-80071185</v>
      </c>
      <c r="D44" s="36">
        <v>-14780939.67</v>
      </c>
      <c r="E44" s="44">
        <f>+E48+E47+E46+E45</f>
        <v>-74927527.489999995</v>
      </c>
      <c r="F44" s="145" t="str">
        <f>$D$12</f>
        <v>CIERRE 2017</v>
      </c>
      <c r="G44" s="372"/>
      <c r="H44" s="44" t="e">
        <f>SUM(H45:H50)</f>
        <v>#REF!</v>
      </c>
      <c r="I44" s="44" t="e">
        <f>SUM(I45:I50)</f>
        <v>#REF!</v>
      </c>
    </row>
    <row r="45" spans="2:11" ht="14.1" customHeight="1" x14ac:dyDescent="0.25">
      <c r="B45" s="57" t="s">
        <v>227</v>
      </c>
      <c r="C45" s="102">
        <v>-200000</v>
      </c>
      <c r="D45" s="39">
        <v>-16117.25</v>
      </c>
      <c r="E45" s="40">
        <v>-165000</v>
      </c>
      <c r="F45" s="147">
        <v>-16117.25</v>
      </c>
      <c r="G45" s="148">
        <v>-16117.25</v>
      </c>
      <c r="H45" s="40" t="e">
        <v>#REF!</v>
      </c>
      <c r="I45" s="40" t="e">
        <v>#REF!</v>
      </c>
    </row>
    <row r="46" spans="2:11" ht="14.1" customHeight="1" x14ac:dyDescent="0.25">
      <c r="B46" s="57" t="s">
        <v>228</v>
      </c>
      <c r="C46" s="102">
        <v>-190000</v>
      </c>
      <c r="D46" s="39">
        <v>-242163.85</v>
      </c>
      <c r="E46" s="40">
        <v>-1681500</v>
      </c>
      <c r="F46" s="42">
        <v>-219557.47</v>
      </c>
      <c r="G46" s="149">
        <v>-242163.85</v>
      </c>
      <c r="H46" s="101" t="e">
        <v>#REF!</v>
      </c>
      <c r="I46" s="101" t="e">
        <v>#REF!</v>
      </c>
    </row>
    <row r="47" spans="2:11" ht="13.5" customHeight="1" x14ac:dyDescent="0.25">
      <c r="B47" s="57" t="s">
        <v>229</v>
      </c>
      <c r="C47" s="102">
        <v>-79681185</v>
      </c>
      <c r="D47" s="39">
        <v>-14522658.57</v>
      </c>
      <c r="E47" s="40">
        <v>-72581027.489999995</v>
      </c>
      <c r="F47" s="42">
        <v>-23074426.109999999</v>
      </c>
      <c r="G47" s="149">
        <v>-28633949.869999997</v>
      </c>
      <c r="H47" s="40" t="e">
        <v>#REF!</v>
      </c>
      <c r="I47" s="40" t="e">
        <v>#REF!</v>
      </c>
    </row>
    <row r="48" spans="2:11" ht="13.5" customHeight="1" x14ac:dyDescent="0.25">
      <c r="B48" s="57" t="s">
        <v>230</v>
      </c>
      <c r="C48" s="102">
        <v>0</v>
      </c>
      <c r="D48" s="39">
        <v>0</v>
      </c>
      <c r="E48" s="40">
        <v>-500000</v>
      </c>
      <c r="F48" s="150">
        <v>0</v>
      </c>
      <c r="G48" s="151">
        <v>0</v>
      </c>
      <c r="H48" s="40"/>
      <c r="I48" s="40"/>
    </row>
    <row r="49" spans="2:16" ht="13.5" customHeight="1" x14ac:dyDescent="0.25">
      <c r="B49" s="57" t="s">
        <v>231</v>
      </c>
      <c r="C49" s="102"/>
      <c r="D49" s="39"/>
      <c r="E49" s="40"/>
      <c r="H49" s="40"/>
      <c r="I49" s="40"/>
    </row>
    <row r="50" spans="2:16" ht="13.5" customHeight="1" x14ac:dyDescent="0.25">
      <c r="B50" s="57" t="s">
        <v>232</v>
      </c>
      <c r="C50" s="102"/>
      <c r="D50" s="39"/>
      <c r="E50" s="40"/>
      <c r="H50" s="40"/>
      <c r="I50" s="40"/>
    </row>
    <row r="51" spans="2:16" ht="13.5" customHeight="1" x14ac:dyDescent="0.25">
      <c r="B51" s="97" t="s">
        <v>233</v>
      </c>
      <c r="C51" s="98">
        <v>910000</v>
      </c>
      <c r="D51" s="36">
        <v>1278221.5</v>
      </c>
      <c r="E51" s="44">
        <f>+E55</f>
        <v>1000000</v>
      </c>
      <c r="H51" s="44">
        <f>SUM(H52:H57)</f>
        <v>1000848</v>
      </c>
      <c r="I51" s="44">
        <f>SUM(I52:I57)</f>
        <v>1000848</v>
      </c>
    </row>
    <row r="52" spans="2:16" ht="13.5" customHeight="1" x14ac:dyDescent="0.25">
      <c r="B52" s="57" t="s">
        <v>227</v>
      </c>
      <c r="C52" s="102"/>
      <c r="D52" s="39"/>
      <c r="E52" s="40"/>
      <c r="F52" s="147">
        <v>0</v>
      </c>
      <c r="G52" s="148">
        <v>0</v>
      </c>
      <c r="H52" s="40"/>
      <c r="I52" s="40"/>
    </row>
    <row r="53" spans="2:16" ht="13.5" customHeight="1" x14ac:dyDescent="0.25">
      <c r="B53" s="57" t="s">
        <v>228</v>
      </c>
      <c r="C53" s="102">
        <v>0</v>
      </c>
      <c r="D53" s="39"/>
      <c r="E53" s="40">
        <v>0</v>
      </c>
      <c r="F53" s="42">
        <v>0</v>
      </c>
      <c r="G53" s="149">
        <v>0</v>
      </c>
      <c r="H53" s="40"/>
      <c r="I53" s="40"/>
    </row>
    <row r="54" spans="2:16" ht="13.5" customHeight="1" x14ac:dyDescent="0.25">
      <c r="B54" s="57" t="s">
        <v>229</v>
      </c>
      <c r="C54" s="102">
        <v>0</v>
      </c>
      <c r="D54" s="39"/>
      <c r="E54" s="40">
        <v>0</v>
      </c>
      <c r="F54" s="42" t="e">
        <v>#REF!</v>
      </c>
      <c r="G54" s="149">
        <v>0</v>
      </c>
      <c r="H54" s="40"/>
      <c r="I54" s="40"/>
    </row>
    <row r="55" spans="2:16" ht="13.5" customHeight="1" x14ac:dyDescent="0.25">
      <c r="B55" s="57" t="s">
        <v>230</v>
      </c>
      <c r="C55" s="102">
        <v>910000</v>
      </c>
      <c r="D55" s="39">
        <v>1278221.5</v>
      </c>
      <c r="E55" s="40">
        <v>1000000</v>
      </c>
      <c r="F55" s="42">
        <v>941963.23</v>
      </c>
      <c r="G55" s="149">
        <v>1278221.5</v>
      </c>
      <c r="H55" s="40">
        <v>1000000</v>
      </c>
      <c r="I55" s="40">
        <v>1000000</v>
      </c>
      <c r="J55" s="161"/>
    </row>
    <row r="56" spans="2:16" ht="13.5" customHeight="1" x14ac:dyDescent="0.25">
      <c r="B56" s="57" t="s">
        <v>231</v>
      </c>
      <c r="C56" s="102"/>
      <c r="D56" s="39"/>
      <c r="E56" s="40"/>
      <c r="F56" s="150">
        <v>0</v>
      </c>
      <c r="G56" s="151">
        <v>0</v>
      </c>
      <c r="H56" s="40"/>
      <c r="I56" s="40"/>
    </row>
    <row r="57" spans="2:16" ht="13.5" customHeight="1" x14ac:dyDescent="0.25">
      <c r="B57" s="57" t="s">
        <v>232</v>
      </c>
      <c r="C57" s="102"/>
      <c r="D57" s="39"/>
      <c r="E57" s="40"/>
      <c r="H57" s="40">
        <v>848</v>
      </c>
      <c r="I57" s="40">
        <v>848</v>
      </c>
    </row>
    <row r="58" spans="2:16" ht="14.1" customHeight="1" x14ac:dyDescent="0.25">
      <c r="B58" s="162" t="s">
        <v>234</v>
      </c>
      <c r="C58" s="156">
        <v>-79161185</v>
      </c>
      <c r="D58" s="104">
        <v>-13502718.17</v>
      </c>
      <c r="E58" s="105">
        <v>-73927527.489999995</v>
      </c>
      <c r="H58" s="105" t="e">
        <f>H44+H51</f>
        <v>#REF!</v>
      </c>
      <c r="I58" s="105" t="e">
        <f>I44+I51</f>
        <v>#REF!</v>
      </c>
    </row>
    <row r="59" spans="2:16" ht="13.5" customHeight="1" x14ac:dyDescent="0.25">
      <c r="B59" s="97"/>
      <c r="C59" s="143"/>
      <c r="D59" s="36"/>
      <c r="E59" s="44"/>
      <c r="H59" s="44"/>
      <c r="I59" s="44"/>
    </row>
    <row r="60" spans="2:16" ht="13.5" customHeight="1" x14ac:dyDescent="0.25">
      <c r="B60" s="59" t="s">
        <v>235</v>
      </c>
      <c r="C60" s="143"/>
      <c r="D60" s="36"/>
      <c r="E60" s="44"/>
      <c r="F60" s="163" t="str">
        <f>F43</f>
        <v>REAL A</v>
      </c>
      <c r="G60" s="366" t="str">
        <f>G43</f>
        <v>PREV.CIERRE</v>
      </c>
      <c r="H60" s="44"/>
      <c r="I60" s="44"/>
    </row>
    <row r="61" spans="2:16" ht="13.5" customHeight="1" x14ac:dyDescent="0.25">
      <c r="B61" s="97" t="s">
        <v>236</v>
      </c>
      <c r="C61" s="98">
        <v>61307382.299999997</v>
      </c>
      <c r="D61" s="36">
        <v>36787715.340000004</v>
      </c>
      <c r="E61" s="44">
        <f>+E63+E64</f>
        <v>158664211</v>
      </c>
      <c r="F61" s="145" t="str">
        <f>$D$12</f>
        <v>CIERRE 2017</v>
      </c>
      <c r="G61" s="372"/>
      <c r="H61" s="44">
        <f>SUM(H62:H64)</f>
        <v>51865860.359999999</v>
      </c>
      <c r="I61" s="44">
        <f>SUM(I62:I64)</f>
        <v>51865842.200000003</v>
      </c>
    </row>
    <row r="62" spans="2:16" ht="13.5" customHeight="1" x14ac:dyDescent="0.25">
      <c r="B62" s="57" t="s">
        <v>237</v>
      </c>
      <c r="C62" s="102"/>
      <c r="D62" s="39"/>
      <c r="E62" s="40"/>
      <c r="F62" s="147">
        <v>0</v>
      </c>
      <c r="G62" s="148">
        <v>0</v>
      </c>
      <c r="H62" s="40">
        <v>29718987.359999999</v>
      </c>
      <c r="I62" s="40">
        <v>29718969.200000003</v>
      </c>
    </row>
    <row r="63" spans="2:16" ht="13.5" customHeight="1" x14ac:dyDescent="0.25">
      <c r="B63" s="57" t="s">
        <v>238</v>
      </c>
      <c r="C63" s="102"/>
      <c r="D63" s="39"/>
      <c r="E63" s="40"/>
      <c r="F63" s="150">
        <v>0</v>
      </c>
      <c r="G63" s="151">
        <v>0</v>
      </c>
      <c r="H63" s="40"/>
      <c r="I63" s="40"/>
    </row>
    <row r="64" spans="2:16" ht="13.5" customHeight="1" x14ac:dyDescent="0.25">
      <c r="B64" s="57" t="s">
        <v>239</v>
      </c>
      <c r="C64" s="102">
        <v>61307382.299999997</v>
      </c>
      <c r="D64" s="39">
        <v>36787715.340000004</v>
      </c>
      <c r="E64" s="40">
        <f>20307382+138456829-100000</f>
        <v>158664211</v>
      </c>
      <c r="F64" s="164">
        <v>31063293.669999998</v>
      </c>
      <c r="G64" s="165">
        <v>43218215</v>
      </c>
      <c r="H64" s="40">
        <f>15350000+6796873</f>
        <v>22146873</v>
      </c>
      <c r="I64" s="40">
        <f>15350000+6796873</f>
        <v>22146873</v>
      </c>
      <c r="J64" s="5"/>
      <c r="O64" s="5"/>
      <c r="P64" s="48"/>
    </row>
    <row r="65" spans="2:16" ht="13.5" customHeight="1" x14ac:dyDescent="0.25">
      <c r="B65" s="97" t="s">
        <v>240</v>
      </c>
      <c r="C65" s="98">
        <v>-14217430</v>
      </c>
      <c r="D65" s="36">
        <v>-14624111.24</v>
      </c>
      <c r="E65" s="44">
        <f>+E66+E70+E74</f>
        <v>-123730680.06999999</v>
      </c>
      <c r="H65" s="44">
        <f>H66+H70</f>
        <v>-18153096</v>
      </c>
      <c r="I65" s="44">
        <f>I66+I70</f>
        <v>-18153096</v>
      </c>
      <c r="P65" s="48"/>
    </row>
    <row r="66" spans="2:16" ht="13.5" customHeight="1" x14ac:dyDescent="0.25">
      <c r="B66" s="57" t="s">
        <v>241</v>
      </c>
      <c r="C66" s="98">
        <v>0</v>
      </c>
      <c r="D66" s="36">
        <v>0</v>
      </c>
      <c r="E66" s="44">
        <v>0</v>
      </c>
      <c r="H66" s="44">
        <f>SUM(H67:H69)</f>
        <v>0</v>
      </c>
      <c r="I66" s="44">
        <f>SUM(I67:I69)</f>
        <v>0</v>
      </c>
      <c r="P66" s="48"/>
    </row>
    <row r="67" spans="2:16" ht="13.5" customHeight="1" x14ac:dyDescent="0.25">
      <c r="B67" s="57" t="s">
        <v>242</v>
      </c>
      <c r="C67" s="102"/>
      <c r="D67" s="39"/>
      <c r="E67" s="40"/>
      <c r="H67" s="40"/>
      <c r="I67" s="40"/>
    </row>
    <row r="68" spans="2:16" ht="13.5" customHeight="1" x14ac:dyDescent="0.25">
      <c r="B68" s="57" t="s">
        <v>243</v>
      </c>
      <c r="C68" s="102"/>
      <c r="D68" s="39"/>
      <c r="E68" s="40"/>
      <c r="H68" s="40"/>
      <c r="I68" s="40"/>
    </row>
    <row r="69" spans="2:16" ht="13.5" customHeight="1" x14ac:dyDescent="0.25">
      <c r="B69" s="57" t="s">
        <v>244</v>
      </c>
      <c r="C69" s="102"/>
      <c r="D69" s="39"/>
      <c r="E69" s="40"/>
      <c r="H69" s="40"/>
      <c r="I69" s="40"/>
    </row>
    <row r="70" spans="2:16" ht="13.5" customHeight="1" x14ac:dyDescent="0.25">
      <c r="B70" s="57" t="s">
        <v>245</v>
      </c>
      <c r="C70" s="98">
        <v>-14217430</v>
      </c>
      <c r="D70" s="36">
        <v>-14624111.24</v>
      </c>
      <c r="E70" s="44">
        <f>+E71</f>
        <v>-123730680.06999999</v>
      </c>
      <c r="H70" s="44">
        <f>SUM(H71:H73)</f>
        <v>-18153096</v>
      </c>
      <c r="I70" s="44">
        <f>SUM(I71:I73)</f>
        <v>-18153096</v>
      </c>
    </row>
    <row r="71" spans="2:16" ht="13.5" customHeight="1" x14ac:dyDescent="0.25">
      <c r="B71" s="57" t="s">
        <v>242</v>
      </c>
      <c r="C71" s="102">
        <v>-14217430</v>
      </c>
      <c r="D71" s="39">
        <v>-14624111.24</v>
      </c>
      <c r="E71" s="40">
        <v>-123730680.06999999</v>
      </c>
      <c r="H71" s="40">
        <v>-15335318</v>
      </c>
      <c r="I71" s="40">
        <v>-15335318</v>
      </c>
      <c r="J71" s="48"/>
      <c r="K71" s="5"/>
    </row>
    <row r="72" spans="2:16" ht="13.5" customHeight="1" x14ac:dyDescent="0.25">
      <c r="B72" s="57" t="s">
        <v>243</v>
      </c>
      <c r="C72" s="102"/>
      <c r="D72" s="39"/>
      <c r="E72" s="40"/>
      <c r="H72" s="40"/>
      <c r="I72" s="40"/>
    </row>
    <row r="73" spans="2:16" ht="13.5" customHeight="1" x14ac:dyDescent="0.25">
      <c r="B73" s="57" t="s">
        <v>244</v>
      </c>
      <c r="C73" s="102"/>
      <c r="D73" s="39"/>
      <c r="E73" s="40"/>
      <c r="H73" s="102">
        <v>-2817778</v>
      </c>
      <c r="I73" s="102">
        <v>-2817778</v>
      </c>
    </row>
    <row r="74" spans="2:16" ht="13.5" customHeight="1" x14ac:dyDescent="0.25">
      <c r="B74" s="97" t="s">
        <v>246</v>
      </c>
      <c r="C74" s="98">
        <v>0</v>
      </c>
      <c r="D74" s="36">
        <v>0</v>
      </c>
      <c r="E74" s="44">
        <v>0</v>
      </c>
      <c r="H74" s="44">
        <f>SUM(H75:H76)</f>
        <v>0</v>
      </c>
      <c r="I74" s="44">
        <f>SUM(I75:I76)</f>
        <v>0</v>
      </c>
    </row>
    <row r="75" spans="2:16" ht="13.5" customHeight="1" x14ac:dyDescent="0.25">
      <c r="B75" s="95" t="s">
        <v>247</v>
      </c>
      <c r="C75" s="102"/>
      <c r="D75" s="39"/>
      <c r="E75" s="40"/>
      <c r="H75" s="40"/>
      <c r="I75" s="40"/>
    </row>
    <row r="76" spans="2:16" ht="13.5" customHeight="1" x14ac:dyDescent="0.25">
      <c r="B76" s="95" t="s">
        <v>248</v>
      </c>
      <c r="C76" s="102"/>
      <c r="D76" s="39"/>
      <c r="E76" s="40"/>
      <c r="H76" s="40"/>
      <c r="I76" s="40"/>
    </row>
    <row r="77" spans="2:16" ht="14.1" customHeight="1" x14ac:dyDescent="0.25">
      <c r="B77" s="155" t="s">
        <v>249</v>
      </c>
      <c r="C77" s="156">
        <v>47089952.299999997</v>
      </c>
      <c r="D77" s="104">
        <v>22163604.100000001</v>
      </c>
      <c r="E77" s="105">
        <f>+E74+E65+E61</f>
        <v>34933530.930000007</v>
      </c>
      <c r="H77" s="105">
        <f>H61+H65+H74</f>
        <v>33712764.359999999</v>
      </c>
      <c r="I77" s="105">
        <f>I61+I65+I74</f>
        <v>33712746.200000003</v>
      </c>
    </row>
    <row r="78" spans="2:16" ht="13.5" customHeight="1" x14ac:dyDescent="0.25">
      <c r="B78" s="95"/>
      <c r="C78" s="166"/>
      <c r="D78" s="61"/>
      <c r="E78" s="62"/>
      <c r="H78" s="62"/>
      <c r="I78" s="62"/>
    </row>
    <row r="79" spans="2:16" ht="13.5" customHeight="1" x14ac:dyDescent="0.25">
      <c r="B79" s="168" t="s">
        <v>250</v>
      </c>
      <c r="C79" s="169"/>
      <c r="D79" s="353"/>
      <c r="E79" s="170"/>
      <c r="H79" s="170"/>
      <c r="I79" s="170"/>
    </row>
    <row r="80" spans="2:16" ht="13.5" customHeight="1" x14ac:dyDescent="0.25">
      <c r="B80" s="95"/>
      <c r="C80" s="171"/>
      <c r="D80" s="64"/>
      <c r="E80" s="65"/>
      <c r="H80" s="65"/>
      <c r="I80" s="65"/>
    </row>
    <row r="81" spans="2:9" ht="33" customHeight="1" x14ac:dyDescent="0.25">
      <c r="B81" s="173" t="s">
        <v>251</v>
      </c>
      <c r="C81" s="174">
        <v>1116942.200000003</v>
      </c>
      <c r="D81" s="354">
        <v>10438610.210000027</v>
      </c>
      <c r="E81" s="175">
        <f>+E77+E58+E41</f>
        <v>6925928.9599999934</v>
      </c>
      <c r="H81" s="175" t="e">
        <f>H41+H58+H77+H79</f>
        <v>#REF!</v>
      </c>
      <c r="I81" s="175" t="e">
        <f>I41+I58+I77+I79</f>
        <v>#REF!</v>
      </c>
    </row>
    <row r="82" spans="2:9" ht="13.5" customHeight="1" x14ac:dyDescent="0.25">
      <c r="B82" s="100" t="s">
        <v>252</v>
      </c>
      <c r="C82" s="176">
        <v>6755043.1399999997</v>
      </c>
      <c r="D82" s="352">
        <v>12404452.630000001</v>
      </c>
      <c r="E82" s="159">
        <v>22843062.84</v>
      </c>
      <c r="H82" s="159">
        <v>12404452.630000001</v>
      </c>
      <c r="I82" s="159">
        <f>+H82</f>
        <v>12404452.630000001</v>
      </c>
    </row>
    <row r="83" spans="2:9" ht="13.5" customHeight="1" thickBot="1" x14ac:dyDescent="0.3">
      <c r="B83" s="177" t="s">
        <v>253</v>
      </c>
      <c r="C83" s="178">
        <v>7871985.3399999999</v>
      </c>
      <c r="D83" s="355">
        <v>22843062.84</v>
      </c>
      <c r="E83" s="179">
        <f>+BALANCE!G63</f>
        <v>29768991.800000001</v>
      </c>
      <c r="H83" s="179" t="e">
        <v>#REF!</v>
      </c>
      <c r="I83" s="179" t="e">
        <v>#REF!</v>
      </c>
    </row>
    <row r="84" spans="2:9" ht="14.1" customHeight="1" x14ac:dyDescent="0.25">
      <c r="C84" s="92"/>
      <c r="D84" s="92"/>
      <c r="E84" s="99"/>
      <c r="H84" s="99"/>
      <c r="I84" s="99"/>
    </row>
    <row r="85" spans="2:9" s="68" customFormat="1" ht="14.1" customHeight="1" x14ac:dyDescent="0.25">
      <c r="C85" s="69"/>
      <c r="D85" s="69"/>
      <c r="E85" s="69"/>
      <c r="F85" s="2"/>
      <c r="G85" s="2"/>
      <c r="H85" s="69" t="e">
        <f>+H82-H83</f>
        <v>#REF!</v>
      </c>
      <c r="I85" s="69" t="e">
        <f>+I83-I82</f>
        <v>#REF!</v>
      </c>
    </row>
    <row r="86" spans="2:9" s="68" customFormat="1" ht="14.1" customHeight="1" x14ac:dyDescent="0.25">
      <c r="C86" s="69"/>
      <c r="D86" s="69"/>
      <c r="E86" s="69"/>
      <c r="F86" s="2"/>
      <c r="G86" s="2"/>
      <c r="H86" s="69"/>
      <c r="I86" s="69"/>
    </row>
    <row r="87" spans="2:9" s="68" customFormat="1" ht="14.1" customHeight="1" x14ac:dyDescent="0.25">
      <c r="C87" s="69"/>
      <c r="D87" s="69"/>
      <c r="E87" s="69">
        <f>+E85-E81</f>
        <v>-6925928.9599999934</v>
      </c>
      <c r="F87" s="2"/>
      <c r="G87" s="2"/>
      <c r="H87" s="69"/>
      <c r="I87" s="69"/>
    </row>
    <row r="88" spans="2:9" s="68" customFormat="1" ht="14.1" customHeight="1" x14ac:dyDescent="0.25">
      <c r="E88" s="69"/>
      <c r="F88" s="2"/>
      <c r="G88" s="2"/>
      <c r="H88" s="69"/>
      <c r="I88" s="69"/>
    </row>
    <row r="89" spans="2:9" s="68" customFormat="1" ht="14.1" customHeight="1" x14ac:dyDescent="0.25">
      <c r="E89" s="69"/>
      <c r="F89" s="2"/>
      <c r="G89" s="2"/>
      <c r="H89" s="69"/>
      <c r="I89" s="69"/>
    </row>
    <row r="90" spans="2:9" s="68" customFormat="1" ht="14.1" customHeight="1" x14ac:dyDescent="0.25">
      <c r="E90" s="69"/>
      <c r="F90" s="2"/>
      <c r="G90" s="2"/>
      <c r="H90" s="69"/>
      <c r="I90" s="69"/>
    </row>
    <row r="91" spans="2:9" s="68" customFormat="1" ht="13.5" customHeight="1" x14ac:dyDescent="0.25">
      <c r="E91" s="69"/>
      <c r="F91" s="2"/>
      <c r="G91" s="2"/>
      <c r="H91" s="69"/>
      <c r="I91" s="69"/>
    </row>
    <row r="92" spans="2:9" s="68" customFormat="1" ht="14.1" customHeight="1" x14ac:dyDescent="0.25">
      <c r="E92" s="69"/>
      <c r="F92" s="2"/>
      <c r="G92" s="2"/>
      <c r="H92" s="69"/>
      <c r="I92" s="69"/>
    </row>
    <row r="93" spans="2:9" s="68" customFormat="1" ht="14.1" customHeight="1" x14ac:dyDescent="0.25">
      <c r="E93" s="69"/>
      <c r="F93" s="2"/>
      <c r="G93" s="2"/>
      <c r="H93" s="69"/>
      <c r="I93" s="69"/>
    </row>
    <row r="94" spans="2:9" s="68" customFormat="1" ht="14.1" customHeight="1" x14ac:dyDescent="0.25">
      <c r="E94" s="69"/>
      <c r="F94" s="2"/>
      <c r="G94" s="2"/>
      <c r="H94" s="69"/>
      <c r="I94" s="69"/>
    </row>
    <row r="95" spans="2:9" s="68" customFormat="1" ht="14.1" customHeight="1" x14ac:dyDescent="0.25">
      <c r="E95" s="69"/>
      <c r="F95" s="2"/>
      <c r="G95" s="2"/>
      <c r="H95" s="69"/>
      <c r="I95" s="69"/>
    </row>
    <row r="96" spans="2:9" s="68" customFormat="1" ht="14.1" customHeight="1" x14ac:dyDescent="0.25">
      <c r="E96" s="69"/>
      <c r="F96" s="2"/>
      <c r="G96" s="2"/>
      <c r="H96" s="69"/>
      <c r="I96" s="69"/>
    </row>
    <row r="97" spans="5:9" s="68" customFormat="1" ht="14.1" customHeight="1" x14ac:dyDescent="0.25">
      <c r="E97" s="69"/>
      <c r="F97" s="2"/>
      <c r="G97" s="2"/>
      <c r="H97" s="69"/>
      <c r="I97" s="69"/>
    </row>
    <row r="98" spans="5:9" s="68" customFormat="1" ht="14.1" customHeight="1" x14ac:dyDescent="0.25">
      <c r="E98" s="69"/>
      <c r="F98" s="2"/>
      <c r="G98" s="2"/>
      <c r="H98" s="69"/>
      <c r="I98" s="69"/>
    </row>
    <row r="99" spans="5:9" s="68" customFormat="1" ht="14.1" customHeight="1" x14ac:dyDescent="0.25">
      <c r="E99" s="69"/>
      <c r="F99" s="2"/>
      <c r="G99" s="2"/>
      <c r="H99" s="69"/>
      <c r="I99" s="69"/>
    </row>
    <row r="100" spans="5:9" s="68" customFormat="1" ht="14.1" customHeight="1" x14ac:dyDescent="0.25">
      <c r="E100" s="69"/>
      <c r="F100" s="2"/>
      <c r="G100" s="2"/>
      <c r="H100" s="69"/>
      <c r="I100" s="69"/>
    </row>
    <row r="101" spans="5:9" ht="14.1" customHeight="1" x14ac:dyDescent="0.25">
      <c r="I101" s="5"/>
    </row>
    <row r="102" spans="5:9" ht="14.1" customHeight="1" x14ac:dyDescent="0.25">
      <c r="I102" s="5"/>
    </row>
    <row r="103" spans="5:9" ht="14.1" customHeight="1" x14ac:dyDescent="0.25">
      <c r="I103" s="5"/>
    </row>
    <row r="104" spans="5:9" ht="14.1" customHeight="1" x14ac:dyDescent="0.25">
      <c r="I104" s="5"/>
    </row>
    <row r="105" spans="5:9" ht="14.1" customHeight="1" x14ac:dyDescent="0.25">
      <c r="I105" s="5"/>
    </row>
    <row r="106" spans="5:9" ht="14.1" customHeight="1" x14ac:dyDescent="0.25">
      <c r="I106" s="5"/>
    </row>
    <row r="107" spans="5:9" ht="14.1" customHeight="1" x14ac:dyDescent="0.25">
      <c r="I107" s="5"/>
    </row>
    <row r="108" spans="5:9" ht="14.1" customHeight="1" x14ac:dyDescent="0.25">
      <c r="I108" s="5"/>
    </row>
    <row r="109" spans="5:9" ht="14.1" customHeight="1" x14ac:dyDescent="0.25">
      <c r="I109" s="5"/>
    </row>
    <row r="110" spans="5:9" ht="14.1" customHeight="1" x14ac:dyDescent="0.25">
      <c r="I110" s="5"/>
    </row>
    <row r="111" spans="5:9" ht="14.1" customHeight="1" x14ac:dyDescent="0.25">
      <c r="I111" s="5"/>
    </row>
    <row r="112" spans="5:9" ht="14.1" customHeight="1" x14ac:dyDescent="0.25">
      <c r="I112" s="5"/>
    </row>
    <row r="113" spans="9:9" ht="14.1" customHeight="1" x14ac:dyDescent="0.25">
      <c r="I113" s="5"/>
    </row>
    <row r="114" spans="9:9" ht="14.1" customHeight="1" x14ac:dyDescent="0.25">
      <c r="I114" s="5"/>
    </row>
    <row r="115" spans="9:9" ht="14.1" customHeight="1" x14ac:dyDescent="0.25">
      <c r="I115" s="5"/>
    </row>
    <row r="116" spans="9:9" ht="14.1" customHeight="1" x14ac:dyDescent="0.25">
      <c r="I116" s="5"/>
    </row>
    <row r="117" spans="9:9" ht="14.1" customHeight="1" x14ac:dyDescent="0.25">
      <c r="I117" s="5"/>
    </row>
    <row r="118" spans="9:9" ht="14.1" customHeight="1" x14ac:dyDescent="0.25">
      <c r="I118" s="5"/>
    </row>
    <row r="119" spans="9:9" ht="14.1" customHeight="1" x14ac:dyDescent="0.25">
      <c r="I119" s="5"/>
    </row>
    <row r="120" spans="9:9" ht="14.1" customHeight="1" x14ac:dyDescent="0.25">
      <c r="I120" s="5"/>
    </row>
    <row r="121" spans="9:9" ht="14.1" customHeight="1" x14ac:dyDescent="0.25">
      <c r="I121" s="5"/>
    </row>
    <row r="122" spans="9:9" ht="14.1" customHeight="1" x14ac:dyDescent="0.25">
      <c r="I122" s="5"/>
    </row>
    <row r="123" spans="9:9" ht="14.1" customHeight="1" x14ac:dyDescent="0.25">
      <c r="I123" s="5"/>
    </row>
    <row r="124" spans="9:9" ht="14.1" customHeight="1" x14ac:dyDescent="0.25">
      <c r="I124" s="5"/>
    </row>
    <row r="125" spans="9:9" ht="14.1" customHeight="1" x14ac:dyDescent="0.25">
      <c r="I125" s="5"/>
    </row>
    <row r="126" spans="9:9" ht="14.1" customHeight="1" x14ac:dyDescent="0.25">
      <c r="I126" s="5"/>
    </row>
    <row r="127" spans="9:9" ht="14.1" customHeight="1" x14ac:dyDescent="0.25">
      <c r="I127" s="5"/>
    </row>
    <row r="128" spans="9:9" ht="14.1" customHeight="1" x14ac:dyDescent="0.25">
      <c r="I128" s="5"/>
    </row>
    <row r="129" spans="9:9" ht="14.1" customHeight="1" x14ac:dyDescent="0.25">
      <c r="I129" s="5"/>
    </row>
    <row r="130" spans="9:9" ht="14.1" customHeight="1" x14ac:dyDescent="0.25">
      <c r="I130" s="5"/>
    </row>
    <row r="131" spans="9:9" ht="14.1" customHeight="1" x14ac:dyDescent="0.25">
      <c r="I131" s="5"/>
    </row>
    <row r="132" spans="9:9" ht="14.1" customHeight="1" x14ac:dyDescent="0.25">
      <c r="I132" s="5"/>
    </row>
    <row r="133" spans="9:9" ht="14.1" customHeight="1" x14ac:dyDescent="0.25">
      <c r="I133" s="5"/>
    </row>
    <row r="134" spans="9:9" ht="14.1" customHeight="1" x14ac:dyDescent="0.25">
      <c r="I134" s="5"/>
    </row>
    <row r="135" spans="9:9" ht="14.1" customHeight="1" x14ac:dyDescent="0.25">
      <c r="I135" s="5"/>
    </row>
    <row r="136" spans="9:9" ht="14.1" customHeight="1" x14ac:dyDescent="0.25">
      <c r="I136" s="5"/>
    </row>
    <row r="137" spans="9:9" ht="14.1" customHeight="1" x14ac:dyDescent="0.25">
      <c r="I137" s="5"/>
    </row>
    <row r="138" spans="9:9" ht="14.1" customHeight="1" x14ac:dyDescent="0.25">
      <c r="I138" s="5"/>
    </row>
    <row r="139" spans="9:9" ht="14.1" customHeight="1" x14ac:dyDescent="0.25">
      <c r="I139" s="5"/>
    </row>
    <row r="140" spans="9:9" ht="14.1" customHeight="1" x14ac:dyDescent="0.25">
      <c r="I140" s="5"/>
    </row>
    <row r="141" spans="9:9" ht="14.1" customHeight="1" x14ac:dyDescent="0.25">
      <c r="I141" s="5"/>
    </row>
    <row r="142" spans="9:9" ht="14.1" customHeight="1" x14ac:dyDescent="0.25">
      <c r="I142" s="5"/>
    </row>
    <row r="143" spans="9:9" ht="14.1" customHeight="1" x14ac:dyDescent="0.25">
      <c r="I143" s="5"/>
    </row>
    <row r="144" spans="9:9" ht="14.1" customHeight="1" x14ac:dyDescent="0.25">
      <c r="I144" s="5"/>
    </row>
    <row r="145" spans="9:9" ht="14.1" customHeight="1" x14ac:dyDescent="0.25">
      <c r="I145" s="5"/>
    </row>
    <row r="146" spans="9:9" ht="14.1" customHeight="1" x14ac:dyDescent="0.25">
      <c r="I146" s="5"/>
    </row>
    <row r="147" spans="9:9" ht="14.1" customHeight="1" x14ac:dyDescent="0.25">
      <c r="I147" s="5"/>
    </row>
    <row r="148" spans="9:9" ht="14.1" customHeight="1" x14ac:dyDescent="0.25">
      <c r="I148" s="5"/>
    </row>
    <row r="149" spans="9:9" ht="14.1" customHeight="1" x14ac:dyDescent="0.25">
      <c r="I149" s="5"/>
    </row>
    <row r="150" spans="9:9" ht="14.1" customHeight="1" x14ac:dyDescent="0.25">
      <c r="I150" s="5"/>
    </row>
    <row r="151" spans="9:9" ht="14.1" customHeight="1" x14ac:dyDescent="0.25">
      <c r="I151" s="5"/>
    </row>
    <row r="152" spans="9:9" ht="14.1" customHeight="1" x14ac:dyDescent="0.25">
      <c r="I152" s="5"/>
    </row>
    <row r="153" spans="9:9" ht="14.1" customHeight="1" x14ac:dyDescent="0.25">
      <c r="I153" s="5"/>
    </row>
    <row r="154" spans="9:9" ht="14.1" customHeight="1" x14ac:dyDescent="0.25">
      <c r="I154" s="5"/>
    </row>
    <row r="155" spans="9:9" ht="14.1" customHeight="1" x14ac:dyDescent="0.25">
      <c r="I155" s="5"/>
    </row>
    <row r="156" spans="9:9" ht="14.1" customHeight="1" x14ac:dyDescent="0.25">
      <c r="I156" s="5"/>
    </row>
    <row r="157" spans="9:9" ht="14.1" customHeight="1" x14ac:dyDescent="0.25">
      <c r="I157" s="5"/>
    </row>
    <row r="158" spans="9:9" ht="14.1" customHeight="1" x14ac:dyDescent="0.25">
      <c r="I158" s="5"/>
    </row>
    <row r="159" spans="9:9" ht="14.1" customHeight="1" x14ac:dyDescent="0.25">
      <c r="I159" s="5"/>
    </row>
    <row r="160" spans="9:9" ht="14.1" customHeight="1" x14ac:dyDescent="0.25">
      <c r="I160" s="5"/>
    </row>
    <row r="161" spans="9:9" ht="14.1" customHeight="1" x14ac:dyDescent="0.25">
      <c r="I161" s="5"/>
    </row>
    <row r="162" spans="9:9" ht="14.1" customHeight="1" x14ac:dyDescent="0.25">
      <c r="I162" s="5"/>
    </row>
    <row r="163" spans="9:9" ht="14.1" customHeight="1" x14ac:dyDescent="0.25">
      <c r="I163" s="5"/>
    </row>
    <row r="164" spans="9:9" ht="14.1" customHeight="1" x14ac:dyDescent="0.25">
      <c r="I164" s="5"/>
    </row>
    <row r="165" spans="9:9" ht="14.1" customHeight="1" x14ac:dyDescent="0.25">
      <c r="I165" s="5"/>
    </row>
    <row r="166" spans="9:9" ht="14.1" customHeight="1" x14ac:dyDescent="0.25">
      <c r="I166" s="5"/>
    </row>
    <row r="167" spans="9:9" ht="14.1" customHeight="1" x14ac:dyDescent="0.25">
      <c r="I167" s="5"/>
    </row>
    <row r="168" spans="9:9" ht="14.1" customHeight="1" x14ac:dyDescent="0.25">
      <c r="I168" s="5"/>
    </row>
    <row r="169" spans="9:9" ht="14.1" customHeight="1" x14ac:dyDescent="0.25">
      <c r="I169" s="5"/>
    </row>
    <row r="170" spans="9:9" ht="14.1" customHeight="1" x14ac:dyDescent="0.25">
      <c r="I170" s="5"/>
    </row>
    <row r="171" spans="9:9" ht="14.1" customHeight="1" x14ac:dyDescent="0.25">
      <c r="I171" s="5"/>
    </row>
    <row r="172" spans="9:9" ht="14.1" customHeight="1" x14ac:dyDescent="0.25">
      <c r="I172" s="5"/>
    </row>
    <row r="173" spans="9:9" ht="14.1" customHeight="1" x14ac:dyDescent="0.25">
      <c r="I173" s="5"/>
    </row>
    <row r="174" spans="9:9" ht="14.1" customHeight="1" x14ac:dyDescent="0.25">
      <c r="I174" s="5"/>
    </row>
    <row r="175" spans="9:9" ht="14.1" customHeight="1" x14ac:dyDescent="0.25">
      <c r="I175" s="5"/>
    </row>
    <row r="176" spans="9:9" ht="14.1" customHeight="1" x14ac:dyDescent="0.25">
      <c r="I176" s="5"/>
    </row>
    <row r="177" spans="9:9" ht="14.1" customHeight="1" x14ac:dyDescent="0.25">
      <c r="I177" s="5"/>
    </row>
    <row r="178" spans="9:9" ht="14.1" customHeight="1" x14ac:dyDescent="0.25">
      <c r="I178" s="5"/>
    </row>
    <row r="179" spans="9:9" ht="14.1" customHeight="1" x14ac:dyDescent="0.25">
      <c r="I179" s="5"/>
    </row>
    <row r="180" spans="9:9" ht="14.1" customHeight="1" x14ac:dyDescent="0.25">
      <c r="I180" s="5"/>
    </row>
    <row r="181" spans="9:9" ht="14.1" customHeight="1" x14ac:dyDescent="0.25">
      <c r="I181" s="5"/>
    </row>
    <row r="182" spans="9:9" ht="14.1" customHeight="1" x14ac:dyDescent="0.25">
      <c r="I182" s="5"/>
    </row>
    <row r="183" spans="9:9" ht="14.1" customHeight="1" x14ac:dyDescent="0.25">
      <c r="I183" s="5"/>
    </row>
    <row r="184" spans="9:9" ht="14.1" customHeight="1" x14ac:dyDescent="0.25">
      <c r="I184" s="5"/>
    </row>
    <row r="185" spans="9:9" ht="14.1" customHeight="1" x14ac:dyDescent="0.25">
      <c r="I185" s="5"/>
    </row>
    <row r="186" spans="9:9" ht="14.1" customHeight="1" x14ac:dyDescent="0.25">
      <c r="I186" s="5"/>
    </row>
    <row r="187" spans="9:9" ht="14.1" customHeight="1" x14ac:dyDescent="0.25">
      <c r="I187" s="5"/>
    </row>
    <row r="188" spans="9:9" ht="14.1" customHeight="1" x14ac:dyDescent="0.25">
      <c r="I188" s="5"/>
    </row>
    <row r="189" spans="9:9" ht="14.1" customHeight="1" x14ac:dyDescent="0.25">
      <c r="I189" s="5"/>
    </row>
    <row r="190" spans="9:9" ht="14.1" customHeight="1" x14ac:dyDescent="0.25">
      <c r="I190" s="5"/>
    </row>
    <row r="191" spans="9:9" ht="14.1" customHeight="1" x14ac:dyDescent="0.25">
      <c r="I191" s="5"/>
    </row>
    <row r="192" spans="9:9" ht="14.1" customHeight="1" x14ac:dyDescent="0.25">
      <c r="I192" s="5"/>
    </row>
    <row r="193" spans="9:9" ht="14.1" customHeight="1" x14ac:dyDescent="0.25">
      <c r="I193" s="5"/>
    </row>
    <row r="194" spans="9:9" ht="14.1" customHeight="1" x14ac:dyDescent="0.25">
      <c r="I194" s="5"/>
    </row>
    <row r="195" spans="9:9" ht="14.1" customHeight="1" x14ac:dyDescent="0.25">
      <c r="I195" s="5"/>
    </row>
    <row r="196" spans="9:9" ht="14.1" customHeight="1" x14ac:dyDescent="0.25">
      <c r="I196" s="5"/>
    </row>
    <row r="197" spans="9:9" ht="14.1" customHeight="1" x14ac:dyDescent="0.25">
      <c r="I197" s="5"/>
    </row>
    <row r="198" spans="9:9" ht="14.1" customHeight="1" x14ac:dyDescent="0.25">
      <c r="I198" s="5"/>
    </row>
    <row r="199" spans="9:9" ht="14.1" customHeight="1" x14ac:dyDescent="0.25">
      <c r="I199" s="5"/>
    </row>
    <row r="200" spans="9:9" ht="14.1" customHeight="1" x14ac:dyDescent="0.25">
      <c r="I200" s="5"/>
    </row>
    <row r="201" spans="9:9" ht="14.1" customHeight="1" x14ac:dyDescent="0.25">
      <c r="I201" s="5"/>
    </row>
    <row r="202" spans="9:9" ht="14.1" customHeight="1" x14ac:dyDescent="0.25"/>
    <row r="203" spans="9:9" ht="14.1" customHeight="1" x14ac:dyDescent="0.25"/>
    <row r="204" spans="9:9" ht="14.1" customHeight="1" x14ac:dyDescent="0.25"/>
    <row r="205" spans="9:9" ht="14.1" customHeight="1" x14ac:dyDescent="0.25"/>
    <row r="206" spans="9:9" ht="14.1" customHeight="1" x14ac:dyDescent="0.25"/>
    <row r="207" spans="9:9" ht="14.1" customHeight="1" x14ac:dyDescent="0.25"/>
    <row r="208" spans="9:9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</sheetData>
  <mergeCells count="7">
    <mergeCell ref="G60:G61"/>
    <mergeCell ref="B3:E3"/>
    <mergeCell ref="G16:G17"/>
    <mergeCell ref="F18:F19"/>
    <mergeCell ref="G18:G19"/>
    <mergeCell ref="G26:G27"/>
    <mergeCell ref="G43:G44"/>
  </mergeCells>
  <conditionalFormatting sqref="F28:G34 F45:G48 F52:G56">
    <cfRule type="cellIs" dxfId="63" priority="36" stopIfTrue="1" operator="notEqual">
      <formula>D28</formula>
    </cfRule>
  </conditionalFormatting>
  <conditionalFormatting sqref="F64">
    <cfRule type="cellIs" dxfId="62" priority="37" stopIfTrue="1" operator="notEqual">
      <formula>$D$64</formula>
    </cfRule>
  </conditionalFormatting>
  <conditionalFormatting sqref="G64">
    <cfRule type="cellIs" dxfId="61" priority="38" stopIfTrue="1" operator="notEqual">
      <formula>$E$64</formula>
    </cfRule>
  </conditionalFormatting>
  <conditionalFormatting sqref="F62">
    <cfRule type="cellIs" dxfId="60" priority="39" stopIfTrue="1" operator="notEqual">
      <formula>$D$62</formula>
    </cfRule>
  </conditionalFormatting>
  <conditionalFormatting sqref="G62">
    <cfRule type="cellIs" dxfId="59" priority="40" stopIfTrue="1" operator="notEqual">
      <formula>$E$62</formula>
    </cfRule>
  </conditionalFormatting>
  <conditionalFormatting sqref="F63">
    <cfRule type="cellIs" dxfId="58" priority="41" stopIfTrue="1" operator="notEqual">
      <formula>$D$63</formula>
    </cfRule>
  </conditionalFormatting>
  <conditionalFormatting sqref="G63">
    <cfRule type="cellIs" dxfId="57" priority="42" stopIfTrue="1" operator="notEqual">
      <formula>$E$63</formula>
    </cfRule>
  </conditionalFormatting>
  <conditionalFormatting sqref="F18:F19">
    <cfRule type="cellIs" dxfId="56" priority="43" stopIfTrue="1" operator="notEqual">
      <formula>$D$18+$D$19</formula>
    </cfRule>
  </conditionalFormatting>
  <conditionalFormatting sqref="G18:G19">
    <cfRule type="cellIs" dxfId="55" priority="44" stopIfTrue="1" operator="notEqual">
      <formula>$E$18+$E$19</formula>
    </cfRule>
  </conditionalFormatting>
  <conditionalFormatting sqref="E63 C75:C76 C45:C50 C71:C73 E71:E73 E45:E46 E48:E50 E75:E76">
    <cfRule type="cellIs" dxfId="54" priority="45" stopIfTrue="1" operator="greaterThan">
      <formula>0</formula>
    </cfRule>
  </conditionalFormatting>
  <conditionalFormatting sqref="E62 C67:C69 C52:C57 E52:E57 E67:E69">
    <cfRule type="cellIs" dxfId="53" priority="46" stopIfTrue="1" operator="lessThan">
      <formula>0</formula>
    </cfRule>
  </conditionalFormatting>
  <conditionalFormatting sqref="E81">
    <cfRule type="cellIs" dxfId="52" priority="48" stopIfTrue="1" operator="notEqual">
      <formula>$E$83-$E$82</formula>
    </cfRule>
  </conditionalFormatting>
  <conditionalFormatting sqref="C36">
    <cfRule type="cellIs" dxfId="51" priority="33" stopIfTrue="1" operator="greaterThan">
      <formula>0</formula>
    </cfRule>
  </conditionalFormatting>
  <conditionalFormatting sqref="C37:C38">
    <cfRule type="cellIs" dxfId="50" priority="34" stopIfTrue="1" operator="lessThan">
      <formula>0</formula>
    </cfRule>
  </conditionalFormatting>
  <conditionalFormatting sqref="C63">
    <cfRule type="cellIs" dxfId="49" priority="31" stopIfTrue="1" operator="greaterThan">
      <formula>0</formula>
    </cfRule>
  </conditionalFormatting>
  <conditionalFormatting sqref="C62 C64">
    <cfRule type="cellIs" dxfId="48" priority="32" stopIfTrue="1" operator="lessThan">
      <formula>0</formula>
    </cfRule>
  </conditionalFormatting>
  <conditionalFormatting sqref="C81">
    <cfRule type="cellIs" dxfId="47" priority="30" stopIfTrue="1" operator="notEqual">
      <formula>$D$83-$D$82</formula>
    </cfRule>
  </conditionalFormatting>
  <conditionalFormatting sqref="H63 H36 H75:H76 H71:H73 H45:H50">
    <cfRule type="cellIs" dxfId="46" priority="27" stopIfTrue="1" operator="greaterThan">
      <formula>0</formula>
    </cfRule>
  </conditionalFormatting>
  <conditionalFormatting sqref="H62 H37 H67:H69 H52:H57">
    <cfRule type="cellIs" dxfId="45" priority="28" stopIfTrue="1" operator="lessThan">
      <formula>0</formula>
    </cfRule>
  </conditionalFormatting>
  <conditionalFormatting sqref="H81">
    <cfRule type="cellIs" dxfId="44" priority="29" stopIfTrue="1" operator="notEqual">
      <formula>$E$83-$E$82</formula>
    </cfRule>
  </conditionalFormatting>
  <conditionalFormatting sqref="H64">
    <cfRule type="cellIs" dxfId="43" priority="26" stopIfTrue="1" operator="lessThan">
      <formula>0</formula>
    </cfRule>
  </conditionalFormatting>
  <conditionalFormatting sqref="H38">
    <cfRule type="cellIs" dxfId="42" priority="25" stopIfTrue="1" operator="lessThan">
      <formula>0</formula>
    </cfRule>
  </conditionalFormatting>
  <conditionalFormatting sqref="I63 I36 I75:I76 I71:I73 I45:I50">
    <cfRule type="cellIs" dxfId="41" priority="22" stopIfTrue="1" operator="greaterThan">
      <formula>0</formula>
    </cfRule>
  </conditionalFormatting>
  <conditionalFormatting sqref="I62 I37 I67:I69 I52:I57">
    <cfRule type="cellIs" dxfId="40" priority="23" stopIfTrue="1" operator="lessThan">
      <formula>0</formula>
    </cfRule>
  </conditionalFormatting>
  <conditionalFormatting sqref="I81">
    <cfRule type="cellIs" dxfId="39" priority="24" stopIfTrue="1" operator="notEqual">
      <formula>$E$83-$E$82</formula>
    </cfRule>
  </conditionalFormatting>
  <conditionalFormatting sqref="I64">
    <cfRule type="cellIs" dxfId="38" priority="21" stopIfTrue="1" operator="lessThan">
      <formula>0</formula>
    </cfRule>
  </conditionalFormatting>
  <conditionalFormatting sqref="I38">
    <cfRule type="cellIs" dxfId="37" priority="20" stopIfTrue="1" operator="lessThan">
      <formula>0</formula>
    </cfRule>
  </conditionalFormatting>
  <conditionalFormatting sqref="D63 D75:D76 D48:D50 D45:D46 D71:D73">
    <cfRule type="cellIs" dxfId="36" priority="11" stopIfTrue="1" operator="greaterThan">
      <formula>0</formula>
    </cfRule>
  </conditionalFormatting>
  <conditionalFormatting sqref="D37 D62 D67:D69 D52:D57">
    <cfRule type="cellIs" dxfId="35" priority="12" stopIfTrue="1" operator="lessThan">
      <formula>0</formula>
    </cfRule>
  </conditionalFormatting>
  <conditionalFormatting sqref="D81">
    <cfRule type="cellIs" dxfId="34" priority="13" stopIfTrue="1" operator="notEqual">
      <formula>$E$86-$E$85</formula>
    </cfRule>
  </conditionalFormatting>
  <conditionalFormatting sqref="D38">
    <cfRule type="cellIs" dxfId="33" priority="9" stopIfTrue="1" operator="lessThan">
      <formula>0</formula>
    </cfRule>
  </conditionalFormatting>
  <conditionalFormatting sqref="D36">
    <cfRule type="cellIs" dxfId="32" priority="8" stopIfTrue="1" operator="greaterThan">
      <formula>0</formula>
    </cfRule>
  </conditionalFormatting>
  <conditionalFormatting sqref="D47">
    <cfRule type="cellIs" dxfId="31" priority="6" stopIfTrue="1" operator="greaterThan">
      <formula>0</formula>
    </cfRule>
  </conditionalFormatting>
  <conditionalFormatting sqref="E37">
    <cfRule type="cellIs" dxfId="30" priority="5" stopIfTrue="1" operator="lessThan">
      <formula>0</formula>
    </cfRule>
  </conditionalFormatting>
  <conditionalFormatting sqref="E38">
    <cfRule type="cellIs" dxfId="29" priority="4" stopIfTrue="1" operator="lessThan">
      <formula>0</formula>
    </cfRule>
  </conditionalFormatting>
  <conditionalFormatting sqref="E36">
    <cfRule type="cellIs" dxfId="28" priority="3" stopIfTrue="1" operator="greaterThan">
      <formula>0</formula>
    </cfRule>
  </conditionalFormatting>
  <conditionalFormatting sqref="D64:E64">
    <cfRule type="cellIs" dxfId="27" priority="2" stopIfTrue="1" operator="lessThan">
      <formula>0</formula>
    </cfRule>
  </conditionalFormatting>
  <conditionalFormatting sqref="E47">
    <cfRule type="cellIs" dxfId="26" priority="1" stopIfTrue="1" operator="greaterThan">
      <formula>0</formula>
    </cfRule>
  </conditionalFormatting>
  <pageMargins left="0.7" right="0.7" top="0.75" bottom="0.75" header="0.3" footer="0.3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83"/>
  <sheetViews>
    <sheetView topLeftCell="B10" workbookViewId="0">
      <selection activeCell="E43" sqref="E43"/>
    </sheetView>
  </sheetViews>
  <sheetFormatPr baseColWidth="10" defaultRowHeight="15" x14ac:dyDescent="0.25"/>
  <cols>
    <col min="1" max="1" width="5.42578125" style="182" customWidth="1"/>
    <col min="2" max="2" width="45" style="182" customWidth="1"/>
    <col min="3" max="3" width="17.28515625" style="182" bestFit="1" customWidth="1"/>
    <col min="4" max="4" width="16.7109375" style="182" customWidth="1"/>
    <col min="5" max="5" width="17.42578125" style="182" customWidth="1"/>
    <col min="6" max="6" width="48.42578125" style="182" customWidth="1"/>
    <col min="7" max="7" width="17.42578125" style="182" customWidth="1"/>
    <col min="8" max="8" width="17.28515625" style="182" bestFit="1" customWidth="1"/>
    <col min="9" max="9" width="16.85546875" style="182" customWidth="1"/>
    <col min="10" max="10" width="11.42578125" style="182"/>
    <col min="11" max="12" width="12.7109375" style="182" bestFit="1" customWidth="1"/>
    <col min="13" max="256" width="11.42578125" style="182"/>
    <col min="257" max="257" width="5.42578125" style="182" customWidth="1"/>
    <col min="258" max="258" width="55.28515625" style="182" customWidth="1"/>
    <col min="259" max="261" width="20.7109375" style="182" customWidth="1"/>
    <col min="262" max="262" width="55.28515625" style="182" customWidth="1"/>
    <col min="263" max="265" width="20.7109375" style="182" customWidth="1"/>
    <col min="266" max="266" width="11.42578125" style="182"/>
    <col min="267" max="268" width="12.7109375" style="182" bestFit="1" customWidth="1"/>
    <col min="269" max="512" width="11.42578125" style="182"/>
    <col min="513" max="513" width="5.42578125" style="182" customWidth="1"/>
    <col min="514" max="514" width="55.28515625" style="182" customWidth="1"/>
    <col min="515" max="517" width="20.7109375" style="182" customWidth="1"/>
    <col min="518" max="518" width="55.28515625" style="182" customWidth="1"/>
    <col min="519" max="521" width="20.7109375" style="182" customWidth="1"/>
    <col min="522" max="522" width="11.42578125" style="182"/>
    <col min="523" max="524" width="12.7109375" style="182" bestFit="1" customWidth="1"/>
    <col min="525" max="768" width="11.42578125" style="182"/>
    <col min="769" max="769" width="5.42578125" style="182" customWidth="1"/>
    <col min="770" max="770" width="55.28515625" style="182" customWidth="1"/>
    <col min="771" max="773" width="20.7109375" style="182" customWidth="1"/>
    <col min="774" max="774" width="55.28515625" style="182" customWidth="1"/>
    <col min="775" max="777" width="20.7109375" style="182" customWidth="1"/>
    <col min="778" max="778" width="11.42578125" style="182"/>
    <col min="779" max="780" width="12.7109375" style="182" bestFit="1" customWidth="1"/>
    <col min="781" max="1024" width="11.42578125" style="182"/>
    <col min="1025" max="1025" width="5.42578125" style="182" customWidth="1"/>
    <col min="1026" max="1026" width="55.28515625" style="182" customWidth="1"/>
    <col min="1027" max="1029" width="20.7109375" style="182" customWidth="1"/>
    <col min="1030" max="1030" width="55.28515625" style="182" customWidth="1"/>
    <col min="1031" max="1033" width="20.7109375" style="182" customWidth="1"/>
    <col min="1034" max="1034" width="11.42578125" style="182"/>
    <col min="1035" max="1036" width="12.7109375" style="182" bestFit="1" customWidth="1"/>
    <col min="1037" max="1280" width="11.42578125" style="182"/>
    <col min="1281" max="1281" width="5.42578125" style="182" customWidth="1"/>
    <col min="1282" max="1282" width="55.28515625" style="182" customWidth="1"/>
    <col min="1283" max="1285" width="20.7109375" style="182" customWidth="1"/>
    <col min="1286" max="1286" width="55.28515625" style="182" customWidth="1"/>
    <col min="1287" max="1289" width="20.7109375" style="182" customWidth="1"/>
    <col min="1290" max="1290" width="11.42578125" style="182"/>
    <col min="1291" max="1292" width="12.7109375" style="182" bestFit="1" customWidth="1"/>
    <col min="1293" max="1536" width="11.42578125" style="182"/>
    <col min="1537" max="1537" width="5.42578125" style="182" customWidth="1"/>
    <col min="1538" max="1538" width="55.28515625" style="182" customWidth="1"/>
    <col min="1539" max="1541" width="20.7109375" style="182" customWidth="1"/>
    <col min="1542" max="1542" width="55.28515625" style="182" customWidth="1"/>
    <col min="1543" max="1545" width="20.7109375" style="182" customWidth="1"/>
    <col min="1546" max="1546" width="11.42578125" style="182"/>
    <col min="1547" max="1548" width="12.7109375" style="182" bestFit="1" customWidth="1"/>
    <col min="1549" max="1792" width="11.42578125" style="182"/>
    <col min="1793" max="1793" width="5.42578125" style="182" customWidth="1"/>
    <col min="1794" max="1794" width="55.28515625" style="182" customWidth="1"/>
    <col min="1795" max="1797" width="20.7109375" style="182" customWidth="1"/>
    <col min="1798" max="1798" width="55.28515625" style="182" customWidth="1"/>
    <col min="1799" max="1801" width="20.7109375" style="182" customWidth="1"/>
    <col min="1802" max="1802" width="11.42578125" style="182"/>
    <col min="1803" max="1804" width="12.7109375" style="182" bestFit="1" customWidth="1"/>
    <col min="1805" max="2048" width="11.42578125" style="182"/>
    <col min="2049" max="2049" width="5.42578125" style="182" customWidth="1"/>
    <col min="2050" max="2050" width="55.28515625" style="182" customWidth="1"/>
    <col min="2051" max="2053" width="20.7109375" style="182" customWidth="1"/>
    <col min="2054" max="2054" width="55.28515625" style="182" customWidth="1"/>
    <col min="2055" max="2057" width="20.7109375" style="182" customWidth="1"/>
    <col min="2058" max="2058" width="11.42578125" style="182"/>
    <col min="2059" max="2060" width="12.7109375" style="182" bestFit="1" customWidth="1"/>
    <col min="2061" max="2304" width="11.42578125" style="182"/>
    <col min="2305" max="2305" width="5.42578125" style="182" customWidth="1"/>
    <col min="2306" max="2306" width="55.28515625" style="182" customWidth="1"/>
    <col min="2307" max="2309" width="20.7109375" style="182" customWidth="1"/>
    <col min="2310" max="2310" width="55.28515625" style="182" customWidth="1"/>
    <col min="2311" max="2313" width="20.7109375" style="182" customWidth="1"/>
    <col min="2314" max="2314" width="11.42578125" style="182"/>
    <col min="2315" max="2316" width="12.7109375" style="182" bestFit="1" customWidth="1"/>
    <col min="2317" max="2560" width="11.42578125" style="182"/>
    <col min="2561" max="2561" width="5.42578125" style="182" customWidth="1"/>
    <col min="2562" max="2562" width="55.28515625" style="182" customWidth="1"/>
    <col min="2563" max="2565" width="20.7109375" style="182" customWidth="1"/>
    <col min="2566" max="2566" width="55.28515625" style="182" customWidth="1"/>
    <col min="2567" max="2569" width="20.7109375" style="182" customWidth="1"/>
    <col min="2570" max="2570" width="11.42578125" style="182"/>
    <col min="2571" max="2572" width="12.7109375" style="182" bestFit="1" customWidth="1"/>
    <col min="2573" max="2816" width="11.42578125" style="182"/>
    <col min="2817" max="2817" width="5.42578125" style="182" customWidth="1"/>
    <col min="2818" max="2818" width="55.28515625" style="182" customWidth="1"/>
    <col min="2819" max="2821" width="20.7109375" style="182" customWidth="1"/>
    <col min="2822" max="2822" width="55.28515625" style="182" customWidth="1"/>
    <col min="2823" max="2825" width="20.7109375" style="182" customWidth="1"/>
    <col min="2826" max="2826" width="11.42578125" style="182"/>
    <col min="2827" max="2828" width="12.7109375" style="182" bestFit="1" customWidth="1"/>
    <col min="2829" max="3072" width="11.42578125" style="182"/>
    <col min="3073" max="3073" width="5.42578125" style="182" customWidth="1"/>
    <col min="3074" max="3074" width="55.28515625" style="182" customWidth="1"/>
    <col min="3075" max="3077" width="20.7109375" style="182" customWidth="1"/>
    <col min="3078" max="3078" width="55.28515625" style="182" customWidth="1"/>
    <col min="3079" max="3081" width="20.7109375" style="182" customWidth="1"/>
    <col min="3082" max="3082" width="11.42578125" style="182"/>
    <col min="3083" max="3084" width="12.7109375" style="182" bestFit="1" customWidth="1"/>
    <col min="3085" max="3328" width="11.42578125" style="182"/>
    <col min="3329" max="3329" width="5.42578125" style="182" customWidth="1"/>
    <col min="3330" max="3330" width="55.28515625" style="182" customWidth="1"/>
    <col min="3331" max="3333" width="20.7109375" style="182" customWidth="1"/>
    <col min="3334" max="3334" width="55.28515625" style="182" customWidth="1"/>
    <col min="3335" max="3337" width="20.7109375" style="182" customWidth="1"/>
    <col min="3338" max="3338" width="11.42578125" style="182"/>
    <col min="3339" max="3340" width="12.7109375" style="182" bestFit="1" customWidth="1"/>
    <col min="3341" max="3584" width="11.42578125" style="182"/>
    <col min="3585" max="3585" width="5.42578125" style="182" customWidth="1"/>
    <col min="3586" max="3586" width="55.28515625" style="182" customWidth="1"/>
    <col min="3587" max="3589" width="20.7109375" style="182" customWidth="1"/>
    <col min="3590" max="3590" width="55.28515625" style="182" customWidth="1"/>
    <col min="3591" max="3593" width="20.7109375" style="182" customWidth="1"/>
    <col min="3594" max="3594" width="11.42578125" style="182"/>
    <col min="3595" max="3596" width="12.7109375" style="182" bestFit="1" customWidth="1"/>
    <col min="3597" max="3840" width="11.42578125" style="182"/>
    <col min="3841" max="3841" width="5.42578125" style="182" customWidth="1"/>
    <col min="3842" max="3842" width="55.28515625" style="182" customWidth="1"/>
    <col min="3843" max="3845" width="20.7109375" style="182" customWidth="1"/>
    <col min="3846" max="3846" width="55.28515625" style="182" customWidth="1"/>
    <col min="3847" max="3849" width="20.7109375" style="182" customWidth="1"/>
    <col min="3850" max="3850" width="11.42578125" style="182"/>
    <col min="3851" max="3852" width="12.7109375" style="182" bestFit="1" customWidth="1"/>
    <col min="3853" max="4096" width="11.42578125" style="182"/>
    <col min="4097" max="4097" width="5.42578125" style="182" customWidth="1"/>
    <col min="4098" max="4098" width="55.28515625" style="182" customWidth="1"/>
    <col min="4099" max="4101" width="20.7109375" style="182" customWidth="1"/>
    <col min="4102" max="4102" width="55.28515625" style="182" customWidth="1"/>
    <col min="4103" max="4105" width="20.7109375" style="182" customWidth="1"/>
    <col min="4106" max="4106" width="11.42578125" style="182"/>
    <col min="4107" max="4108" width="12.7109375" style="182" bestFit="1" customWidth="1"/>
    <col min="4109" max="4352" width="11.42578125" style="182"/>
    <col min="4353" max="4353" width="5.42578125" style="182" customWidth="1"/>
    <col min="4354" max="4354" width="55.28515625" style="182" customWidth="1"/>
    <col min="4355" max="4357" width="20.7109375" style="182" customWidth="1"/>
    <col min="4358" max="4358" width="55.28515625" style="182" customWidth="1"/>
    <col min="4359" max="4361" width="20.7109375" style="182" customWidth="1"/>
    <col min="4362" max="4362" width="11.42578125" style="182"/>
    <col min="4363" max="4364" width="12.7109375" style="182" bestFit="1" customWidth="1"/>
    <col min="4365" max="4608" width="11.42578125" style="182"/>
    <col min="4609" max="4609" width="5.42578125" style="182" customWidth="1"/>
    <col min="4610" max="4610" width="55.28515625" style="182" customWidth="1"/>
    <col min="4611" max="4613" width="20.7109375" style="182" customWidth="1"/>
    <col min="4614" max="4614" width="55.28515625" style="182" customWidth="1"/>
    <col min="4615" max="4617" width="20.7109375" style="182" customWidth="1"/>
    <col min="4618" max="4618" width="11.42578125" style="182"/>
    <col min="4619" max="4620" width="12.7109375" style="182" bestFit="1" customWidth="1"/>
    <col min="4621" max="4864" width="11.42578125" style="182"/>
    <col min="4865" max="4865" width="5.42578125" style="182" customWidth="1"/>
    <col min="4866" max="4866" width="55.28515625" style="182" customWidth="1"/>
    <col min="4867" max="4869" width="20.7109375" style="182" customWidth="1"/>
    <col min="4870" max="4870" width="55.28515625" style="182" customWidth="1"/>
    <col min="4871" max="4873" width="20.7109375" style="182" customWidth="1"/>
    <col min="4874" max="4874" width="11.42578125" style="182"/>
    <col min="4875" max="4876" width="12.7109375" style="182" bestFit="1" customWidth="1"/>
    <col min="4877" max="5120" width="11.42578125" style="182"/>
    <col min="5121" max="5121" width="5.42578125" style="182" customWidth="1"/>
    <col min="5122" max="5122" width="55.28515625" style="182" customWidth="1"/>
    <col min="5123" max="5125" width="20.7109375" style="182" customWidth="1"/>
    <col min="5126" max="5126" width="55.28515625" style="182" customWidth="1"/>
    <col min="5127" max="5129" width="20.7109375" style="182" customWidth="1"/>
    <col min="5130" max="5130" width="11.42578125" style="182"/>
    <col min="5131" max="5132" width="12.7109375" style="182" bestFit="1" customWidth="1"/>
    <col min="5133" max="5376" width="11.42578125" style="182"/>
    <col min="5377" max="5377" width="5.42578125" style="182" customWidth="1"/>
    <col min="5378" max="5378" width="55.28515625" style="182" customWidth="1"/>
    <col min="5379" max="5381" width="20.7109375" style="182" customWidth="1"/>
    <col min="5382" max="5382" width="55.28515625" style="182" customWidth="1"/>
    <col min="5383" max="5385" width="20.7109375" style="182" customWidth="1"/>
    <col min="5386" max="5386" width="11.42578125" style="182"/>
    <col min="5387" max="5388" width="12.7109375" style="182" bestFit="1" customWidth="1"/>
    <col min="5389" max="5632" width="11.42578125" style="182"/>
    <col min="5633" max="5633" width="5.42578125" style="182" customWidth="1"/>
    <col min="5634" max="5634" width="55.28515625" style="182" customWidth="1"/>
    <col min="5635" max="5637" width="20.7109375" style="182" customWidth="1"/>
    <col min="5638" max="5638" width="55.28515625" style="182" customWidth="1"/>
    <col min="5639" max="5641" width="20.7109375" style="182" customWidth="1"/>
    <col min="5642" max="5642" width="11.42578125" style="182"/>
    <col min="5643" max="5644" width="12.7109375" style="182" bestFit="1" customWidth="1"/>
    <col min="5645" max="5888" width="11.42578125" style="182"/>
    <col min="5889" max="5889" width="5.42578125" style="182" customWidth="1"/>
    <col min="5890" max="5890" width="55.28515625" style="182" customWidth="1"/>
    <col min="5891" max="5893" width="20.7109375" style="182" customWidth="1"/>
    <col min="5894" max="5894" width="55.28515625" style="182" customWidth="1"/>
    <col min="5895" max="5897" width="20.7109375" style="182" customWidth="1"/>
    <col min="5898" max="5898" width="11.42578125" style="182"/>
    <col min="5899" max="5900" width="12.7109375" style="182" bestFit="1" customWidth="1"/>
    <col min="5901" max="6144" width="11.42578125" style="182"/>
    <col min="6145" max="6145" width="5.42578125" style="182" customWidth="1"/>
    <col min="6146" max="6146" width="55.28515625" style="182" customWidth="1"/>
    <col min="6147" max="6149" width="20.7109375" style="182" customWidth="1"/>
    <col min="6150" max="6150" width="55.28515625" style="182" customWidth="1"/>
    <col min="6151" max="6153" width="20.7109375" style="182" customWidth="1"/>
    <col min="6154" max="6154" width="11.42578125" style="182"/>
    <col min="6155" max="6156" width="12.7109375" style="182" bestFit="1" customWidth="1"/>
    <col min="6157" max="6400" width="11.42578125" style="182"/>
    <col min="6401" max="6401" width="5.42578125" style="182" customWidth="1"/>
    <col min="6402" max="6402" width="55.28515625" style="182" customWidth="1"/>
    <col min="6403" max="6405" width="20.7109375" style="182" customWidth="1"/>
    <col min="6406" max="6406" width="55.28515625" style="182" customWidth="1"/>
    <col min="6407" max="6409" width="20.7109375" style="182" customWidth="1"/>
    <col min="6410" max="6410" width="11.42578125" style="182"/>
    <col min="6411" max="6412" width="12.7109375" style="182" bestFit="1" customWidth="1"/>
    <col min="6413" max="6656" width="11.42578125" style="182"/>
    <col min="6657" max="6657" width="5.42578125" style="182" customWidth="1"/>
    <col min="6658" max="6658" width="55.28515625" style="182" customWidth="1"/>
    <col min="6659" max="6661" width="20.7109375" style="182" customWidth="1"/>
    <col min="6662" max="6662" width="55.28515625" style="182" customWidth="1"/>
    <col min="6663" max="6665" width="20.7109375" style="182" customWidth="1"/>
    <col min="6666" max="6666" width="11.42578125" style="182"/>
    <col min="6667" max="6668" width="12.7109375" style="182" bestFit="1" customWidth="1"/>
    <col min="6669" max="6912" width="11.42578125" style="182"/>
    <col min="6913" max="6913" width="5.42578125" style="182" customWidth="1"/>
    <col min="6914" max="6914" width="55.28515625" style="182" customWidth="1"/>
    <col min="6915" max="6917" width="20.7109375" style="182" customWidth="1"/>
    <col min="6918" max="6918" width="55.28515625" style="182" customWidth="1"/>
    <col min="6919" max="6921" width="20.7109375" style="182" customWidth="1"/>
    <col min="6922" max="6922" width="11.42578125" style="182"/>
    <col min="6923" max="6924" width="12.7109375" style="182" bestFit="1" customWidth="1"/>
    <col min="6925" max="7168" width="11.42578125" style="182"/>
    <col min="7169" max="7169" width="5.42578125" style="182" customWidth="1"/>
    <col min="7170" max="7170" width="55.28515625" style="182" customWidth="1"/>
    <col min="7171" max="7173" width="20.7109375" style="182" customWidth="1"/>
    <col min="7174" max="7174" width="55.28515625" style="182" customWidth="1"/>
    <col min="7175" max="7177" width="20.7109375" style="182" customWidth="1"/>
    <col min="7178" max="7178" width="11.42578125" style="182"/>
    <col min="7179" max="7180" width="12.7109375" style="182" bestFit="1" customWidth="1"/>
    <col min="7181" max="7424" width="11.42578125" style="182"/>
    <col min="7425" max="7425" width="5.42578125" style="182" customWidth="1"/>
    <col min="7426" max="7426" width="55.28515625" style="182" customWidth="1"/>
    <col min="7427" max="7429" width="20.7109375" style="182" customWidth="1"/>
    <col min="7430" max="7430" width="55.28515625" style="182" customWidth="1"/>
    <col min="7431" max="7433" width="20.7109375" style="182" customWidth="1"/>
    <col min="7434" max="7434" width="11.42578125" style="182"/>
    <col min="7435" max="7436" width="12.7109375" style="182" bestFit="1" customWidth="1"/>
    <col min="7437" max="7680" width="11.42578125" style="182"/>
    <col min="7681" max="7681" width="5.42578125" style="182" customWidth="1"/>
    <col min="7682" max="7682" width="55.28515625" style="182" customWidth="1"/>
    <col min="7683" max="7685" width="20.7109375" style="182" customWidth="1"/>
    <col min="7686" max="7686" width="55.28515625" style="182" customWidth="1"/>
    <col min="7687" max="7689" width="20.7109375" style="182" customWidth="1"/>
    <col min="7690" max="7690" width="11.42578125" style="182"/>
    <col min="7691" max="7692" width="12.7109375" style="182" bestFit="1" customWidth="1"/>
    <col min="7693" max="7936" width="11.42578125" style="182"/>
    <col min="7937" max="7937" width="5.42578125" style="182" customWidth="1"/>
    <col min="7938" max="7938" width="55.28515625" style="182" customWidth="1"/>
    <col min="7939" max="7941" width="20.7109375" style="182" customWidth="1"/>
    <col min="7942" max="7942" width="55.28515625" style="182" customWidth="1"/>
    <col min="7943" max="7945" width="20.7109375" style="182" customWidth="1"/>
    <col min="7946" max="7946" width="11.42578125" style="182"/>
    <col min="7947" max="7948" width="12.7109375" style="182" bestFit="1" customWidth="1"/>
    <col min="7949" max="8192" width="11.42578125" style="182"/>
    <col min="8193" max="8193" width="5.42578125" style="182" customWidth="1"/>
    <col min="8194" max="8194" width="55.28515625" style="182" customWidth="1"/>
    <col min="8195" max="8197" width="20.7109375" style="182" customWidth="1"/>
    <col min="8198" max="8198" width="55.28515625" style="182" customWidth="1"/>
    <col min="8199" max="8201" width="20.7109375" style="182" customWidth="1"/>
    <col min="8202" max="8202" width="11.42578125" style="182"/>
    <col min="8203" max="8204" width="12.7109375" style="182" bestFit="1" customWidth="1"/>
    <col min="8205" max="8448" width="11.42578125" style="182"/>
    <col min="8449" max="8449" width="5.42578125" style="182" customWidth="1"/>
    <col min="8450" max="8450" width="55.28515625" style="182" customWidth="1"/>
    <col min="8451" max="8453" width="20.7109375" style="182" customWidth="1"/>
    <col min="8454" max="8454" width="55.28515625" style="182" customWidth="1"/>
    <col min="8455" max="8457" width="20.7109375" style="182" customWidth="1"/>
    <col min="8458" max="8458" width="11.42578125" style="182"/>
    <col min="8459" max="8460" width="12.7109375" style="182" bestFit="1" customWidth="1"/>
    <col min="8461" max="8704" width="11.42578125" style="182"/>
    <col min="8705" max="8705" width="5.42578125" style="182" customWidth="1"/>
    <col min="8706" max="8706" width="55.28515625" style="182" customWidth="1"/>
    <col min="8707" max="8709" width="20.7109375" style="182" customWidth="1"/>
    <col min="8710" max="8710" width="55.28515625" style="182" customWidth="1"/>
    <col min="8711" max="8713" width="20.7109375" style="182" customWidth="1"/>
    <col min="8714" max="8714" width="11.42578125" style="182"/>
    <col min="8715" max="8716" width="12.7109375" style="182" bestFit="1" customWidth="1"/>
    <col min="8717" max="8960" width="11.42578125" style="182"/>
    <col min="8961" max="8961" width="5.42578125" style="182" customWidth="1"/>
    <col min="8962" max="8962" width="55.28515625" style="182" customWidth="1"/>
    <col min="8963" max="8965" width="20.7109375" style="182" customWidth="1"/>
    <col min="8966" max="8966" width="55.28515625" style="182" customWidth="1"/>
    <col min="8967" max="8969" width="20.7109375" style="182" customWidth="1"/>
    <col min="8970" max="8970" width="11.42578125" style="182"/>
    <col min="8971" max="8972" width="12.7109375" style="182" bestFit="1" customWidth="1"/>
    <col min="8973" max="9216" width="11.42578125" style="182"/>
    <col min="9217" max="9217" width="5.42578125" style="182" customWidth="1"/>
    <col min="9218" max="9218" width="55.28515625" style="182" customWidth="1"/>
    <col min="9219" max="9221" width="20.7109375" style="182" customWidth="1"/>
    <col min="9222" max="9222" width="55.28515625" style="182" customWidth="1"/>
    <col min="9223" max="9225" width="20.7109375" style="182" customWidth="1"/>
    <col min="9226" max="9226" width="11.42578125" style="182"/>
    <col min="9227" max="9228" width="12.7109375" style="182" bestFit="1" customWidth="1"/>
    <col min="9229" max="9472" width="11.42578125" style="182"/>
    <col min="9473" max="9473" width="5.42578125" style="182" customWidth="1"/>
    <col min="9474" max="9474" width="55.28515625" style="182" customWidth="1"/>
    <col min="9475" max="9477" width="20.7109375" style="182" customWidth="1"/>
    <col min="9478" max="9478" width="55.28515625" style="182" customWidth="1"/>
    <col min="9479" max="9481" width="20.7109375" style="182" customWidth="1"/>
    <col min="9482" max="9482" width="11.42578125" style="182"/>
    <col min="9483" max="9484" width="12.7109375" style="182" bestFit="1" customWidth="1"/>
    <col min="9485" max="9728" width="11.42578125" style="182"/>
    <col min="9729" max="9729" width="5.42578125" style="182" customWidth="1"/>
    <col min="9730" max="9730" width="55.28515625" style="182" customWidth="1"/>
    <col min="9731" max="9733" width="20.7109375" style="182" customWidth="1"/>
    <col min="9734" max="9734" width="55.28515625" style="182" customWidth="1"/>
    <col min="9735" max="9737" width="20.7109375" style="182" customWidth="1"/>
    <col min="9738" max="9738" width="11.42578125" style="182"/>
    <col min="9739" max="9740" width="12.7109375" style="182" bestFit="1" customWidth="1"/>
    <col min="9741" max="9984" width="11.42578125" style="182"/>
    <col min="9985" max="9985" width="5.42578125" style="182" customWidth="1"/>
    <col min="9986" max="9986" width="55.28515625" style="182" customWidth="1"/>
    <col min="9987" max="9989" width="20.7109375" style="182" customWidth="1"/>
    <col min="9990" max="9990" width="55.28515625" style="182" customWidth="1"/>
    <col min="9991" max="9993" width="20.7109375" style="182" customWidth="1"/>
    <col min="9994" max="9994" width="11.42578125" style="182"/>
    <col min="9995" max="9996" width="12.7109375" style="182" bestFit="1" customWidth="1"/>
    <col min="9997" max="10240" width="11.42578125" style="182"/>
    <col min="10241" max="10241" width="5.42578125" style="182" customWidth="1"/>
    <col min="10242" max="10242" width="55.28515625" style="182" customWidth="1"/>
    <col min="10243" max="10245" width="20.7109375" style="182" customWidth="1"/>
    <col min="10246" max="10246" width="55.28515625" style="182" customWidth="1"/>
    <col min="10247" max="10249" width="20.7109375" style="182" customWidth="1"/>
    <col min="10250" max="10250" width="11.42578125" style="182"/>
    <col min="10251" max="10252" width="12.7109375" style="182" bestFit="1" customWidth="1"/>
    <col min="10253" max="10496" width="11.42578125" style="182"/>
    <col min="10497" max="10497" width="5.42578125" style="182" customWidth="1"/>
    <col min="10498" max="10498" width="55.28515625" style="182" customWidth="1"/>
    <col min="10499" max="10501" width="20.7109375" style="182" customWidth="1"/>
    <col min="10502" max="10502" width="55.28515625" style="182" customWidth="1"/>
    <col min="10503" max="10505" width="20.7109375" style="182" customWidth="1"/>
    <col min="10506" max="10506" width="11.42578125" style="182"/>
    <col min="10507" max="10508" width="12.7109375" style="182" bestFit="1" customWidth="1"/>
    <col min="10509" max="10752" width="11.42578125" style="182"/>
    <col min="10753" max="10753" width="5.42578125" style="182" customWidth="1"/>
    <col min="10754" max="10754" width="55.28515625" style="182" customWidth="1"/>
    <col min="10755" max="10757" width="20.7109375" style="182" customWidth="1"/>
    <col min="10758" max="10758" width="55.28515625" style="182" customWidth="1"/>
    <col min="10759" max="10761" width="20.7109375" style="182" customWidth="1"/>
    <col min="10762" max="10762" width="11.42578125" style="182"/>
    <col min="10763" max="10764" width="12.7109375" style="182" bestFit="1" customWidth="1"/>
    <col min="10765" max="11008" width="11.42578125" style="182"/>
    <col min="11009" max="11009" width="5.42578125" style="182" customWidth="1"/>
    <col min="11010" max="11010" width="55.28515625" style="182" customWidth="1"/>
    <col min="11011" max="11013" width="20.7109375" style="182" customWidth="1"/>
    <col min="11014" max="11014" width="55.28515625" style="182" customWidth="1"/>
    <col min="11015" max="11017" width="20.7109375" style="182" customWidth="1"/>
    <col min="11018" max="11018" width="11.42578125" style="182"/>
    <col min="11019" max="11020" width="12.7109375" style="182" bestFit="1" customWidth="1"/>
    <col min="11021" max="11264" width="11.42578125" style="182"/>
    <col min="11265" max="11265" width="5.42578125" style="182" customWidth="1"/>
    <col min="11266" max="11266" width="55.28515625" style="182" customWidth="1"/>
    <col min="11267" max="11269" width="20.7109375" style="182" customWidth="1"/>
    <col min="11270" max="11270" width="55.28515625" style="182" customWidth="1"/>
    <col min="11271" max="11273" width="20.7109375" style="182" customWidth="1"/>
    <col min="11274" max="11274" width="11.42578125" style="182"/>
    <col min="11275" max="11276" width="12.7109375" style="182" bestFit="1" customWidth="1"/>
    <col min="11277" max="11520" width="11.42578125" style="182"/>
    <col min="11521" max="11521" width="5.42578125" style="182" customWidth="1"/>
    <col min="11522" max="11522" width="55.28515625" style="182" customWidth="1"/>
    <col min="11523" max="11525" width="20.7109375" style="182" customWidth="1"/>
    <col min="11526" max="11526" width="55.28515625" style="182" customWidth="1"/>
    <col min="11527" max="11529" width="20.7109375" style="182" customWidth="1"/>
    <col min="11530" max="11530" width="11.42578125" style="182"/>
    <col min="11531" max="11532" width="12.7109375" style="182" bestFit="1" customWidth="1"/>
    <col min="11533" max="11776" width="11.42578125" style="182"/>
    <col min="11777" max="11777" width="5.42578125" style="182" customWidth="1"/>
    <col min="11778" max="11778" width="55.28515625" style="182" customWidth="1"/>
    <col min="11779" max="11781" width="20.7109375" style="182" customWidth="1"/>
    <col min="11782" max="11782" width="55.28515625" style="182" customWidth="1"/>
    <col min="11783" max="11785" width="20.7109375" style="182" customWidth="1"/>
    <col min="11786" max="11786" width="11.42578125" style="182"/>
    <col min="11787" max="11788" width="12.7109375" style="182" bestFit="1" customWidth="1"/>
    <col min="11789" max="12032" width="11.42578125" style="182"/>
    <col min="12033" max="12033" width="5.42578125" style="182" customWidth="1"/>
    <col min="12034" max="12034" width="55.28515625" style="182" customWidth="1"/>
    <col min="12035" max="12037" width="20.7109375" style="182" customWidth="1"/>
    <col min="12038" max="12038" width="55.28515625" style="182" customWidth="1"/>
    <col min="12039" max="12041" width="20.7109375" style="182" customWidth="1"/>
    <col min="12042" max="12042" width="11.42578125" style="182"/>
    <col min="12043" max="12044" width="12.7109375" style="182" bestFit="1" customWidth="1"/>
    <col min="12045" max="12288" width="11.42578125" style="182"/>
    <col min="12289" max="12289" width="5.42578125" style="182" customWidth="1"/>
    <col min="12290" max="12290" width="55.28515625" style="182" customWidth="1"/>
    <col min="12291" max="12293" width="20.7109375" style="182" customWidth="1"/>
    <col min="12294" max="12294" width="55.28515625" style="182" customWidth="1"/>
    <col min="12295" max="12297" width="20.7109375" style="182" customWidth="1"/>
    <col min="12298" max="12298" width="11.42578125" style="182"/>
    <col min="12299" max="12300" width="12.7109375" style="182" bestFit="1" customWidth="1"/>
    <col min="12301" max="12544" width="11.42578125" style="182"/>
    <col min="12545" max="12545" width="5.42578125" style="182" customWidth="1"/>
    <col min="12546" max="12546" width="55.28515625" style="182" customWidth="1"/>
    <col min="12547" max="12549" width="20.7109375" style="182" customWidth="1"/>
    <col min="12550" max="12550" width="55.28515625" style="182" customWidth="1"/>
    <col min="12551" max="12553" width="20.7109375" style="182" customWidth="1"/>
    <col min="12554" max="12554" width="11.42578125" style="182"/>
    <col min="12555" max="12556" width="12.7109375" style="182" bestFit="1" customWidth="1"/>
    <col min="12557" max="12800" width="11.42578125" style="182"/>
    <col min="12801" max="12801" width="5.42578125" style="182" customWidth="1"/>
    <col min="12802" max="12802" width="55.28515625" style="182" customWidth="1"/>
    <col min="12803" max="12805" width="20.7109375" style="182" customWidth="1"/>
    <col min="12806" max="12806" width="55.28515625" style="182" customWidth="1"/>
    <col min="12807" max="12809" width="20.7109375" style="182" customWidth="1"/>
    <col min="12810" max="12810" width="11.42578125" style="182"/>
    <col min="12811" max="12812" width="12.7109375" style="182" bestFit="1" customWidth="1"/>
    <col min="12813" max="13056" width="11.42578125" style="182"/>
    <col min="13057" max="13057" width="5.42578125" style="182" customWidth="1"/>
    <col min="13058" max="13058" width="55.28515625" style="182" customWidth="1"/>
    <col min="13059" max="13061" width="20.7109375" style="182" customWidth="1"/>
    <col min="13062" max="13062" width="55.28515625" style="182" customWidth="1"/>
    <col min="13063" max="13065" width="20.7109375" style="182" customWidth="1"/>
    <col min="13066" max="13066" width="11.42578125" style="182"/>
    <col min="13067" max="13068" width="12.7109375" style="182" bestFit="1" customWidth="1"/>
    <col min="13069" max="13312" width="11.42578125" style="182"/>
    <col min="13313" max="13313" width="5.42578125" style="182" customWidth="1"/>
    <col min="13314" max="13314" width="55.28515625" style="182" customWidth="1"/>
    <col min="13315" max="13317" width="20.7109375" style="182" customWidth="1"/>
    <col min="13318" max="13318" width="55.28515625" style="182" customWidth="1"/>
    <col min="13319" max="13321" width="20.7109375" style="182" customWidth="1"/>
    <col min="13322" max="13322" width="11.42578125" style="182"/>
    <col min="13323" max="13324" width="12.7109375" style="182" bestFit="1" customWidth="1"/>
    <col min="13325" max="13568" width="11.42578125" style="182"/>
    <col min="13569" max="13569" width="5.42578125" style="182" customWidth="1"/>
    <col min="13570" max="13570" width="55.28515625" style="182" customWidth="1"/>
    <col min="13571" max="13573" width="20.7109375" style="182" customWidth="1"/>
    <col min="13574" max="13574" width="55.28515625" style="182" customWidth="1"/>
    <col min="13575" max="13577" width="20.7109375" style="182" customWidth="1"/>
    <col min="13578" max="13578" width="11.42578125" style="182"/>
    <col min="13579" max="13580" width="12.7109375" style="182" bestFit="1" customWidth="1"/>
    <col min="13581" max="13824" width="11.42578125" style="182"/>
    <col min="13825" max="13825" width="5.42578125" style="182" customWidth="1"/>
    <col min="13826" max="13826" width="55.28515625" style="182" customWidth="1"/>
    <col min="13827" max="13829" width="20.7109375" style="182" customWidth="1"/>
    <col min="13830" max="13830" width="55.28515625" style="182" customWidth="1"/>
    <col min="13831" max="13833" width="20.7109375" style="182" customWidth="1"/>
    <col min="13834" max="13834" width="11.42578125" style="182"/>
    <col min="13835" max="13836" width="12.7109375" style="182" bestFit="1" customWidth="1"/>
    <col min="13837" max="14080" width="11.42578125" style="182"/>
    <col min="14081" max="14081" width="5.42578125" style="182" customWidth="1"/>
    <col min="14082" max="14082" width="55.28515625" style="182" customWidth="1"/>
    <col min="14083" max="14085" width="20.7109375" style="182" customWidth="1"/>
    <col min="14086" max="14086" width="55.28515625" style="182" customWidth="1"/>
    <col min="14087" max="14089" width="20.7109375" style="182" customWidth="1"/>
    <col min="14090" max="14090" width="11.42578125" style="182"/>
    <col min="14091" max="14092" width="12.7109375" style="182" bestFit="1" customWidth="1"/>
    <col min="14093" max="14336" width="11.42578125" style="182"/>
    <col min="14337" max="14337" width="5.42578125" style="182" customWidth="1"/>
    <col min="14338" max="14338" width="55.28515625" style="182" customWidth="1"/>
    <col min="14339" max="14341" width="20.7109375" style="182" customWidth="1"/>
    <col min="14342" max="14342" width="55.28515625" style="182" customWidth="1"/>
    <col min="14343" max="14345" width="20.7109375" style="182" customWidth="1"/>
    <col min="14346" max="14346" width="11.42578125" style="182"/>
    <col min="14347" max="14348" width="12.7109375" style="182" bestFit="1" customWidth="1"/>
    <col min="14349" max="14592" width="11.42578125" style="182"/>
    <col min="14593" max="14593" width="5.42578125" style="182" customWidth="1"/>
    <col min="14594" max="14594" width="55.28515625" style="182" customWidth="1"/>
    <col min="14595" max="14597" width="20.7109375" style="182" customWidth="1"/>
    <col min="14598" max="14598" width="55.28515625" style="182" customWidth="1"/>
    <col min="14599" max="14601" width="20.7109375" style="182" customWidth="1"/>
    <col min="14602" max="14602" width="11.42578125" style="182"/>
    <col min="14603" max="14604" width="12.7109375" style="182" bestFit="1" customWidth="1"/>
    <col min="14605" max="14848" width="11.42578125" style="182"/>
    <col min="14849" max="14849" width="5.42578125" style="182" customWidth="1"/>
    <col min="14850" max="14850" width="55.28515625" style="182" customWidth="1"/>
    <col min="14851" max="14853" width="20.7109375" style="182" customWidth="1"/>
    <col min="14854" max="14854" width="55.28515625" style="182" customWidth="1"/>
    <col min="14855" max="14857" width="20.7109375" style="182" customWidth="1"/>
    <col min="14858" max="14858" width="11.42578125" style="182"/>
    <col min="14859" max="14860" width="12.7109375" style="182" bestFit="1" customWidth="1"/>
    <col min="14861" max="15104" width="11.42578125" style="182"/>
    <col min="15105" max="15105" width="5.42578125" style="182" customWidth="1"/>
    <col min="15106" max="15106" width="55.28515625" style="182" customWidth="1"/>
    <col min="15107" max="15109" width="20.7109375" style="182" customWidth="1"/>
    <col min="15110" max="15110" width="55.28515625" style="182" customWidth="1"/>
    <col min="15111" max="15113" width="20.7109375" style="182" customWidth="1"/>
    <col min="15114" max="15114" width="11.42578125" style="182"/>
    <col min="15115" max="15116" width="12.7109375" style="182" bestFit="1" customWidth="1"/>
    <col min="15117" max="15360" width="11.42578125" style="182"/>
    <col min="15361" max="15361" width="5.42578125" style="182" customWidth="1"/>
    <col min="15362" max="15362" width="55.28515625" style="182" customWidth="1"/>
    <col min="15363" max="15365" width="20.7109375" style="182" customWidth="1"/>
    <col min="15366" max="15366" width="55.28515625" style="182" customWidth="1"/>
    <col min="15367" max="15369" width="20.7109375" style="182" customWidth="1"/>
    <col min="15370" max="15370" width="11.42578125" style="182"/>
    <col min="15371" max="15372" width="12.7109375" style="182" bestFit="1" customWidth="1"/>
    <col min="15373" max="15616" width="11.42578125" style="182"/>
    <col min="15617" max="15617" width="5.42578125" style="182" customWidth="1"/>
    <col min="15618" max="15618" width="55.28515625" style="182" customWidth="1"/>
    <col min="15619" max="15621" width="20.7109375" style="182" customWidth="1"/>
    <col min="15622" max="15622" width="55.28515625" style="182" customWidth="1"/>
    <col min="15623" max="15625" width="20.7109375" style="182" customWidth="1"/>
    <col min="15626" max="15626" width="11.42578125" style="182"/>
    <col min="15627" max="15628" width="12.7109375" style="182" bestFit="1" customWidth="1"/>
    <col min="15629" max="15872" width="11.42578125" style="182"/>
    <col min="15873" max="15873" width="5.42578125" style="182" customWidth="1"/>
    <col min="15874" max="15874" width="55.28515625" style="182" customWidth="1"/>
    <col min="15875" max="15877" width="20.7109375" style="182" customWidth="1"/>
    <col min="15878" max="15878" width="55.28515625" style="182" customWidth="1"/>
    <col min="15879" max="15881" width="20.7109375" style="182" customWidth="1"/>
    <col min="15882" max="15882" width="11.42578125" style="182"/>
    <col min="15883" max="15884" width="12.7109375" style="182" bestFit="1" customWidth="1"/>
    <col min="15885" max="16128" width="11.42578125" style="182"/>
    <col min="16129" max="16129" width="5.42578125" style="182" customWidth="1"/>
    <col min="16130" max="16130" width="55.28515625" style="182" customWidth="1"/>
    <col min="16131" max="16133" width="20.7109375" style="182" customWidth="1"/>
    <col min="16134" max="16134" width="55.28515625" style="182" customWidth="1"/>
    <col min="16135" max="16137" width="20.7109375" style="182" customWidth="1"/>
    <col min="16138" max="16138" width="11.42578125" style="182"/>
    <col min="16139" max="16140" width="12.7109375" style="182" bestFit="1" customWidth="1"/>
    <col min="16141" max="16384" width="11.42578125" style="182"/>
  </cols>
  <sheetData>
    <row r="3" spans="2:9" ht="18" customHeight="1" x14ac:dyDescent="0.25">
      <c r="B3" s="183"/>
      <c r="D3" s="184" t="s">
        <v>254</v>
      </c>
      <c r="I3" s="185"/>
    </row>
    <row r="4" spans="2:9" ht="18" customHeight="1" x14ac:dyDescent="0.25">
      <c r="B4" s="186"/>
      <c r="C4" s="183"/>
      <c r="E4" s="185"/>
      <c r="F4" s="185"/>
      <c r="G4" s="185"/>
      <c r="H4" s="185"/>
      <c r="I4" s="185"/>
    </row>
    <row r="5" spans="2:9" ht="18" customHeight="1" thickBot="1" x14ac:dyDescent="0.3">
      <c r="C5" s="187"/>
      <c r="D5" s="188"/>
      <c r="E5" s="185"/>
      <c r="G5" s="188"/>
      <c r="H5" s="183"/>
      <c r="I5" s="185"/>
    </row>
    <row r="6" spans="2:9" ht="18" customHeight="1" thickTop="1" thickBot="1" x14ac:dyDescent="0.3">
      <c r="B6" s="9" t="s">
        <v>354</v>
      </c>
      <c r="C6" s="187"/>
      <c r="D6" s="188"/>
      <c r="E6" s="185"/>
      <c r="G6" s="188"/>
      <c r="H6" s="183"/>
      <c r="I6" s="252" t="s">
        <v>359</v>
      </c>
    </row>
    <row r="7" spans="2:9" ht="18" customHeight="1" thickTop="1" x14ac:dyDescent="0.25">
      <c r="B7" s="9" t="s">
        <v>355</v>
      </c>
      <c r="C7" s="187"/>
      <c r="D7" s="188"/>
      <c r="E7" s="185"/>
      <c r="G7" s="188"/>
      <c r="H7" s="183"/>
      <c r="I7" s="185"/>
    </row>
    <row r="8" spans="2:9" ht="18" customHeight="1" x14ac:dyDescent="0.25">
      <c r="B8" s="9" t="s">
        <v>356</v>
      </c>
      <c r="C8" s="183"/>
      <c r="D8" s="185"/>
      <c r="E8" s="185"/>
      <c r="F8" s="185"/>
      <c r="G8" s="185"/>
      <c r="H8" s="183"/>
      <c r="I8" s="185"/>
    </row>
    <row r="9" spans="2:9" ht="18" customHeight="1" x14ac:dyDescent="0.25">
      <c r="B9" s="186" t="s">
        <v>1</v>
      </c>
      <c r="C9" s="183"/>
      <c r="D9" s="185"/>
      <c r="E9" s="185"/>
      <c r="F9" s="185"/>
      <c r="G9" s="185"/>
      <c r="H9" s="183"/>
      <c r="I9" s="185"/>
    </row>
    <row r="10" spans="2:9" ht="6" customHeight="1" thickBot="1" x14ac:dyDescent="0.3">
      <c r="B10" s="183"/>
      <c r="D10" s="185"/>
      <c r="E10" s="183"/>
      <c r="F10" s="185"/>
      <c r="G10" s="185"/>
      <c r="H10" s="183"/>
      <c r="I10" s="185"/>
    </row>
    <row r="11" spans="2:9" ht="16.5" x14ac:dyDescent="0.3">
      <c r="B11" s="363" t="s">
        <v>255</v>
      </c>
      <c r="C11" s="229" t="str">
        <f>BALANCE!E11</f>
        <v>PRESUPUESTO</v>
      </c>
      <c r="D11" s="230" t="str">
        <f>BALANCE!F11</f>
        <v>REAL</v>
      </c>
      <c r="E11" s="359" t="str">
        <f>BALANCE!G11</f>
        <v>PRESUPUESTO</v>
      </c>
      <c r="F11" s="377" t="s">
        <v>256</v>
      </c>
      <c r="G11" s="229" t="str">
        <f>BALANCE!I11</f>
        <v>PRESUPUESTO</v>
      </c>
      <c r="H11" s="230" t="str">
        <f>BALANCE!J11</f>
        <v>REAL</v>
      </c>
      <c r="I11" s="231" t="str">
        <f>BALANCE!K11</f>
        <v>PRESUPUESTO</v>
      </c>
    </row>
    <row r="12" spans="2:9" ht="17.25" thickBot="1" x14ac:dyDescent="0.3">
      <c r="B12" s="364"/>
      <c r="C12" s="232">
        <f>BALANCE!E12</f>
        <v>43100</v>
      </c>
      <c r="D12" s="234" t="str">
        <f>BALANCE!F12</f>
        <v>CIERRE 2017</v>
      </c>
      <c r="E12" s="233">
        <f>BALANCE!G12</f>
        <v>43465</v>
      </c>
      <c r="F12" s="378"/>
      <c r="G12" s="232">
        <f>BALANCE!I12</f>
        <v>43100</v>
      </c>
      <c r="H12" s="234" t="str">
        <f>BALANCE!J12</f>
        <v>CIERRE 2017</v>
      </c>
      <c r="I12" s="233">
        <f>BALANCE!K12</f>
        <v>43465</v>
      </c>
    </row>
    <row r="13" spans="2:9" ht="11.25" customHeight="1" thickTop="1" x14ac:dyDescent="0.3">
      <c r="B13" s="190"/>
      <c r="C13" s="191"/>
      <c r="D13" s="191"/>
      <c r="E13" s="360"/>
      <c r="F13" s="192"/>
      <c r="G13" s="193"/>
      <c r="H13" s="194"/>
      <c r="I13" s="195"/>
    </row>
    <row r="14" spans="2:9" ht="15.95" customHeight="1" x14ac:dyDescent="0.25">
      <c r="B14" s="196" t="s">
        <v>257</v>
      </c>
      <c r="C14" s="210">
        <f>C15+C20+C26+C29</f>
        <v>101607901.89000003</v>
      </c>
      <c r="D14" s="210">
        <f>D15+D20+D26+D29</f>
        <v>28892230.969999999</v>
      </c>
      <c r="E14" s="211">
        <f>E15+E20+E26+E29</f>
        <v>86812524.989999995</v>
      </c>
      <c r="F14" s="197" t="s">
        <v>258</v>
      </c>
      <c r="G14" s="210">
        <f>SUM(G15:G26)</f>
        <v>32066577.110000003</v>
      </c>
      <c r="H14" s="210">
        <f>SUM(H15:H26)</f>
        <v>91633975.38000001</v>
      </c>
      <c r="I14" s="211">
        <f>SUM(I15:I26)</f>
        <v>53341313.190000005</v>
      </c>
    </row>
    <row r="15" spans="2:9" ht="12.95" customHeight="1" x14ac:dyDescent="0.25">
      <c r="B15" s="198" t="s">
        <v>259</v>
      </c>
      <c r="C15" s="199">
        <f>SUM(C16:C19)</f>
        <v>200000</v>
      </c>
      <c r="D15" s="199">
        <f>SUM(D16:D19)</f>
        <v>16117.25</v>
      </c>
      <c r="E15" s="201">
        <f>SUM(E16:E19)</f>
        <v>165000</v>
      </c>
      <c r="F15" s="200" t="s">
        <v>260</v>
      </c>
      <c r="G15" s="199">
        <v>22302058.740000006</v>
      </c>
      <c r="H15" s="199">
        <v>26014566.880000006</v>
      </c>
      <c r="I15" s="201">
        <v>20039591.370000001</v>
      </c>
    </row>
    <row r="16" spans="2:9" ht="15.95" customHeight="1" x14ac:dyDescent="0.25">
      <c r="B16" s="202" t="s">
        <v>261</v>
      </c>
      <c r="C16" s="203"/>
      <c r="D16" s="203"/>
      <c r="E16" s="208"/>
      <c r="F16" s="200" t="s">
        <v>262</v>
      </c>
      <c r="G16" s="199">
        <v>9225896.0800000001</v>
      </c>
      <c r="H16" s="199">
        <v>9283928.7699999996</v>
      </c>
      <c r="I16" s="201">
        <v>9341045</v>
      </c>
    </row>
    <row r="17" spans="1:12" ht="12.95" customHeight="1" x14ac:dyDescent="0.25">
      <c r="B17" s="198" t="s">
        <v>263</v>
      </c>
      <c r="C17" s="203"/>
      <c r="D17" s="203"/>
      <c r="E17" s="208"/>
      <c r="F17" s="200" t="s">
        <v>264</v>
      </c>
      <c r="G17" s="199">
        <v>2000000</v>
      </c>
      <c r="H17" s="199">
        <v>-2187220.25</v>
      </c>
      <c r="I17" s="201">
        <v>0</v>
      </c>
    </row>
    <row r="18" spans="1:12" ht="12.95" customHeight="1" x14ac:dyDescent="0.25">
      <c r="A18" s="204"/>
      <c r="B18" s="198" t="s">
        <v>265</v>
      </c>
      <c r="C18" s="203">
        <v>200000</v>
      </c>
      <c r="D18" s="203">
        <v>16117.25</v>
      </c>
      <c r="E18" s="208">
        <v>165000</v>
      </c>
      <c r="F18" s="205" t="s">
        <v>266</v>
      </c>
      <c r="G18" s="199">
        <v>1000000</v>
      </c>
      <c r="H18" s="199">
        <v>905834.73</v>
      </c>
      <c r="I18" s="201">
        <v>2000000</v>
      </c>
    </row>
    <row r="19" spans="1:12" ht="12.95" customHeight="1" x14ac:dyDescent="0.25">
      <c r="A19" s="204"/>
      <c r="B19" s="198" t="s">
        <v>267</v>
      </c>
      <c r="C19" s="203"/>
      <c r="D19" s="203"/>
      <c r="E19" s="208"/>
      <c r="F19" s="200" t="s">
        <v>268</v>
      </c>
      <c r="G19" s="199">
        <v>-4500000</v>
      </c>
      <c r="H19" s="199">
        <v>-3863165.89</v>
      </c>
      <c r="I19" s="201">
        <v>-4500000</v>
      </c>
    </row>
    <row r="20" spans="1:12" ht="12.95" customHeight="1" x14ac:dyDescent="0.25">
      <c r="A20" s="204"/>
      <c r="B20" s="202" t="s">
        <v>269</v>
      </c>
      <c r="C20" s="199">
        <f>SUM(C21:C25)</f>
        <v>190000</v>
      </c>
      <c r="D20" s="199">
        <f>SUM(D21:D25)</f>
        <v>242163.85</v>
      </c>
      <c r="E20" s="201">
        <f>SUM(E21:E25)</f>
        <v>1681500</v>
      </c>
      <c r="F20" s="205" t="s">
        <v>270</v>
      </c>
      <c r="G20" s="199">
        <v>0</v>
      </c>
      <c r="H20" s="199">
        <v>-288949.23</v>
      </c>
      <c r="I20" s="201"/>
    </row>
    <row r="21" spans="1:12" ht="12.95" customHeight="1" x14ac:dyDescent="0.25">
      <c r="A21" s="204"/>
      <c r="B21" s="198" t="s">
        <v>271</v>
      </c>
      <c r="C21" s="203"/>
      <c r="D21" s="203"/>
      <c r="E21" s="208"/>
      <c r="F21" s="205" t="s">
        <v>272</v>
      </c>
      <c r="G21" s="199"/>
      <c r="H21" s="199"/>
      <c r="I21" s="201"/>
    </row>
    <row r="22" spans="1:12" ht="12.95" customHeight="1" x14ac:dyDescent="0.25">
      <c r="B22" s="198" t="s">
        <v>273</v>
      </c>
      <c r="C22" s="203"/>
      <c r="D22" s="203"/>
      <c r="E22" s="208">
        <v>1065000</v>
      </c>
      <c r="F22" s="205" t="s">
        <v>274</v>
      </c>
      <c r="G22" s="199"/>
      <c r="H22" s="199"/>
      <c r="I22" s="201"/>
    </row>
    <row r="23" spans="1:12" ht="15.95" customHeight="1" x14ac:dyDescent="0.25">
      <c r="A23" s="204"/>
      <c r="B23" s="198" t="s">
        <v>275</v>
      </c>
      <c r="C23" s="203">
        <v>190000</v>
      </c>
      <c r="D23" s="203">
        <v>242163.85</v>
      </c>
      <c r="E23" s="208">
        <v>250000</v>
      </c>
      <c r="F23" s="205" t="s">
        <v>276</v>
      </c>
      <c r="G23" s="199"/>
      <c r="H23" s="199"/>
      <c r="I23" s="201"/>
    </row>
    <row r="24" spans="1:12" ht="12.95" customHeight="1" x14ac:dyDescent="0.25">
      <c r="A24" s="204"/>
      <c r="B24" s="198" t="s">
        <v>277</v>
      </c>
      <c r="C24" s="203"/>
      <c r="D24" s="203"/>
      <c r="E24" s="208"/>
      <c r="F24" s="205" t="s">
        <v>278</v>
      </c>
      <c r="G24" s="206">
        <v>2000025.6999999955</v>
      </c>
      <c r="H24" s="206">
        <v>61477258.810000002</v>
      </c>
      <c r="I24" s="207">
        <v>26460001</v>
      </c>
    </row>
    <row r="25" spans="1:12" ht="12.95" customHeight="1" x14ac:dyDescent="0.25">
      <c r="A25" s="204"/>
      <c r="B25" s="198" t="s">
        <v>279</v>
      </c>
      <c r="C25" s="203"/>
      <c r="D25" s="203"/>
      <c r="E25" s="208">
        <v>366500</v>
      </c>
      <c r="F25" s="205" t="s">
        <v>280</v>
      </c>
      <c r="G25" s="206">
        <v>38596.589999999997</v>
      </c>
      <c r="H25" s="206">
        <v>291721.56</v>
      </c>
      <c r="I25" s="207">
        <v>675.81999999999971</v>
      </c>
    </row>
    <row r="26" spans="1:12" ht="12.95" customHeight="1" x14ac:dyDescent="0.25">
      <c r="A26" s="204"/>
      <c r="B26" s="198" t="s">
        <v>281</v>
      </c>
      <c r="C26" s="199">
        <f>SUM(C27:C28)</f>
        <v>101217901.89000003</v>
      </c>
      <c r="D26" s="199">
        <f>SUM(D27:D28)</f>
        <v>28633949.869999997</v>
      </c>
      <c r="E26" s="201">
        <f>SUM(E27:E28)</f>
        <v>84466024.989999995</v>
      </c>
      <c r="F26" s="205" t="s">
        <v>282</v>
      </c>
      <c r="G26" s="199"/>
      <c r="H26" s="199"/>
      <c r="I26" s="201"/>
      <c r="L26" s="187"/>
    </row>
    <row r="27" spans="1:12" ht="12.95" customHeight="1" x14ac:dyDescent="0.25">
      <c r="A27" s="204"/>
      <c r="B27" s="198" t="s">
        <v>283</v>
      </c>
      <c r="C27" s="203">
        <v>21536717.23</v>
      </c>
      <c r="D27" s="203">
        <v>13987144.899999999</v>
      </c>
      <c r="E27" s="208">
        <v>15133397.91</v>
      </c>
      <c r="F27" s="187"/>
      <c r="G27" s="239"/>
      <c r="H27" s="240"/>
      <c r="I27" s="241"/>
    </row>
    <row r="28" spans="1:12" ht="12.95" customHeight="1" x14ac:dyDescent="0.25">
      <c r="B28" s="198" t="s">
        <v>284</v>
      </c>
      <c r="C28" s="203">
        <v>79681184.660000026</v>
      </c>
      <c r="D28" s="203">
        <v>14646804.969999999</v>
      </c>
      <c r="E28" s="208">
        <v>69332627.079999998</v>
      </c>
      <c r="F28" s="197" t="s">
        <v>285</v>
      </c>
      <c r="G28" s="210">
        <f>SUM(G29:G30)</f>
        <v>0</v>
      </c>
      <c r="H28" s="210">
        <f>SUM(H29:H30)</f>
        <v>0</v>
      </c>
      <c r="I28" s="211">
        <f>SUM(I29:I30)</f>
        <v>0</v>
      </c>
    </row>
    <row r="29" spans="1:12" ht="12.95" customHeight="1" x14ac:dyDescent="0.25">
      <c r="A29" s="204"/>
      <c r="B29" s="198" t="s">
        <v>286</v>
      </c>
      <c r="C29" s="199">
        <f>SUM(C30:C35)</f>
        <v>0</v>
      </c>
      <c r="D29" s="199">
        <f>SUM(D30:D35)</f>
        <v>0</v>
      </c>
      <c r="E29" s="201">
        <f>SUM(E30:E35)</f>
        <v>500000</v>
      </c>
      <c r="F29" s="200" t="s">
        <v>287</v>
      </c>
      <c r="G29" s="203"/>
      <c r="H29" s="208"/>
      <c r="I29" s="208"/>
    </row>
    <row r="30" spans="1:12" ht="12.95" customHeight="1" x14ac:dyDescent="0.25">
      <c r="A30" s="204"/>
      <c r="B30" s="87" t="s">
        <v>288</v>
      </c>
      <c r="C30" s="203"/>
      <c r="D30" s="203"/>
      <c r="E30" s="208"/>
      <c r="F30" s="200" t="s">
        <v>289</v>
      </c>
      <c r="G30" s="203"/>
      <c r="H30" s="203"/>
      <c r="I30" s="208"/>
      <c r="L30" s="187"/>
    </row>
    <row r="31" spans="1:12" ht="12.95" customHeight="1" x14ac:dyDescent="0.25">
      <c r="A31" s="204"/>
      <c r="B31" s="87" t="s">
        <v>290</v>
      </c>
      <c r="C31" s="203"/>
      <c r="D31" s="203"/>
      <c r="E31" s="208"/>
      <c r="F31" s="200"/>
      <c r="G31" s="199"/>
      <c r="H31" s="199"/>
      <c r="I31" s="201"/>
    </row>
    <row r="32" spans="1:12" ht="12.95" customHeight="1" x14ac:dyDescent="0.25">
      <c r="A32" s="204"/>
      <c r="B32" s="87" t="s">
        <v>291</v>
      </c>
      <c r="C32" s="203"/>
      <c r="D32" s="203"/>
      <c r="E32" s="208"/>
      <c r="F32" s="197" t="s">
        <v>292</v>
      </c>
      <c r="G32" s="210">
        <f>SUM(G33:G35)</f>
        <v>81307382.299999997</v>
      </c>
      <c r="H32" s="210">
        <f>SUM(H33:H35)</f>
        <v>43218215</v>
      </c>
      <c r="I32" s="211">
        <f>SUM(I33:I35)</f>
        <v>170549208.5</v>
      </c>
    </row>
    <row r="33" spans="1:11" ht="12.95" customHeight="1" x14ac:dyDescent="0.25">
      <c r="A33" s="204"/>
      <c r="B33" s="87" t="s">
        <v>293</v>
      </c>
      <c r="C33" s="203"/>
      <c r="D33" s="203"/>
      <c r="E33" s="208"/>
      <c r="F33" s="200" t="s">
        <v>294</v>
      </c>
      <c r="G33" s="203">
        <v>61307382.299999997</v>
      </c>
      <c r="H33" s="203">
        <v>29504921.329999998</v>
      </c>
      <c r="I33" s="208">
        <f>20307382+138456829-100000</f>
        <v>158664211</v>
      </c>
    </row>
    <row r="34" spans="1:11" ht="12.95" customHeight="1" x14ac:dyDescent="0.25">
      <c r="A34" s="204"/>
      <c r="B34" s="87" t="s">
        <v>295</v>
      </c>
      <c r="C34" s="203"/>
      <c r="D34" s="203"/>
      <c r="E34" s="208"/>
      <c r="F34" s="200" t="s">
        <v>296</v>
      </c>
      <c r="G34" s="203"/>
      <c r="H34" s="203"/>
      <c r="I34" s="208"/>
    </row>
    <row r="35" spans="1:11" ht="12.95" customHeight="1" x14ac:dyDescent="0.25">
      <c r="A35" s="204"/>
      <c r="B35" s="87" t="s">
        <v>297</v>
      </c>
      <c r="C35" s="203"/>
      <c r="D35" s="203"/>
      <c r="E35" s="208">
        <v>500000</v>
      </c>
      <c r="F35" s="200" t="s">
        <v>298</v>
      </c>
      <c r="G35" s="203">
        <v>20000000</v>
      </c>
      <c r="H35" s="203">
        <v>13713293.669999998</v>
      </c>
      <c r="I35" s="208">
        <v>11884997.5</v>
      </c>
      <c r="K35" s="187"/>
    </row>
    <row r="36" spans="1:11" ht="12.95" customHeight="1" x14ac:dyDescent="0.25">
      <c r="A36" s="204"/>
      <c r="B36" s="95"/>
      <c r="C36" s="199"/>
      <c r="D36" s="199"/>
      <c r="E36" s="201"/>
      <c r="F36" s="209"/>
      <c r="G36" s="210"/>
      <c r="H36" s="210"/>
      <c r="I36" s="211"/>
    </row>
    <row r="37" spans="1:11" ht="12.95" customHeight="1" x14ac:dyDescent="0.25">
      <c r="B37" s="212"/>
      <c r="C37" s="199"/>
      <c r="D37" s="199"/>
      <c r="E37" s="201"/>
      <c r="F37" s="197" t="s">
        <v>299</v>
      </c>
      <c r="G37" s="210">
        <f>SUM(G38:G40)</f>
        <v>0</v>
      </c>
      <c r="H37" s="210">
        <f>SUM(H38:H40)</f>
        <v>0</v>
      </c>
      <c r="I37" s="211">
        <f>SUM(I38:I40)</f>
        <v>0</v>
      </c>
    </row>
    <row r="38" spans="1:11" ht="15.95" customHeight="1" x14ac:dyDescent="0.25">
      <c r="B38" s="213" t="s">
        <v>300</v>
      </c>
      <c r="C38" s="235"/>
      <c r="D38" s="235"/>
      <c r="E38" s="361"/>
      <c r="F38" s="200" t="s">
        <v>301</v>
      </c>
      <c r="G38" s="203"/>
      <c r="H38" s="203"/>
      <c r="I38" s="208"/>
    </row>
    <row r="39" spans="1:11" ht="15.95" customHeight="1" x14ac:dyDescent="0.25">
      <c r="B39" s="213"/>
      <c r="C39" s="199"/>
      <c r="D39" s="199"/>
      <c r="E39" s="201"/>
      <c r="F39" s="200" t="s">
        <v>302</v>
      </c>
      <c r="G39" s="203"/>
      <c r="H39" s="203"/>
      <c r="I39" s="208"/>
    </row>
    <row r="40" spans="1:11" ht="15.95" customHeight="1" x14ac:dyDescent="0.25">
      <c r="B40" s="196" t="s">
        <v>303</v>
      </c>
      <c r="C40" s="235"/>
      <c r="D40" s="235"/>
      <c r="E40" s="361"/>
      <c r="F40" s="200" t="s">
        <v>304</v>
      </c>
      <c r="G40" s="203"/>
      <c r="H40" s="203"/>
      <c r="I40" s="208"/>
    </row>
    <row r="41" spans="1:11" ht="12.95" customHeight="1" x14ac:dyDescent="0.25">
      <c r="B41" s="196"/>
      <c r="C41" s="199"/>
      <c r="D41" s="199"/>
      <c r="E41" s="201"/>
      <c r="F41" s="197"/>
      <c r="G41" s="210"/>
      <c r="H41" s="210"/>
      <c r="I41" s="211"/>
    </row>
    <row r="42" spans="1:11" ht="15.95" customHeight="1" x14ac:dyDescent="0.25">
      <c r="B42" s="196" t="s">
        <v>305</v>
      </c>
      <c r="C42" s="210">
        <f>SUM(C43:C45)</f>
        <v>14217430</v>
      </c>
      <c r="D42" s="210">
        <f>SUM(D43:D45)</f>
        <v>14624111.24</v>
      </c>
      <c r="E42" s="211">
        <f>SUM(E43:E45)</f>
        <v>123730680.06999999</v>
      </c>
      <c r="F42" s="197" t="s">
        <v>306</v>
      </c>
      <c r="G42" s="210">
        <f>SUM(G43:G48)</f>
        <v>910000</v>
      </c>
      <c r="H42" s="210">
        <f>SUM(H44:H48)</f>
        <v>1278221.5</v>
      </c>
      <c r="I42" s="211">
        <f>SUM(I43:I48)</f>
        <v>1000000</v>
      </c>
    </row>
    <row r="43" spans="1:11" ht="12.95" customHeight="1" x14ac:dyDescent="0.25">
      <c r="B43" s="214" t="s">
        <v>301</v>
      </c>
      <c r="C43" s="203">
        <v>14217430</v>
      </c>
      <c r="D43" s="203">
        <v>14624111.24</v>
      </c>
      <c r="E43" s="208">
        <f>149728832.07-26000000+1848</f>
        <v>123730680.06999999</v>
      </c>
      <c r="F43" s="205" t="s">
        <v>307</v>
      </c>
      <c r="G43" s="203"/>
      <c r="H43" s="203"/>
      <c r="I43" s="208"/>
    </row>
    <row r="44" spans="1:11" ht="12.95" customHeight="1" x14ac:dyDescent="0.25">
      <c r="B44" s="214" t="s">
        <v>308</v>
      </c>
      <c r="C44" s="203"/>
      <c r="D44" s="203"/>
      <c r="E44" s="208"/>
      <c r="F44" s="200" t="s">
        <v>309</v>
      </c>
      <c r="G44" s="203"/>
      <c r="H44" s="203"/>
      <c r="I44" s="208"/>
    </row>
    <row r="45" spans="1:11" ht="12.95" customHeight="1" x14ac:dyDescent="0.25">
      <c r="B45" s="214" t="s">
        <v>310</v>
      </c>
      <c r="C45" s="203"/>
      <c r="D45" s="203"/>
      <c r="E45" s="208">
        <v>0</v>
      </c>
      <c r="F45" s="200" t="s">
        <v>311</v>
      </c>
      <c r="G45" s="203"/>
      <c r="H45" s="203"/>
      <c r="I45" s="208"/>
    </row>
    <row r="46" spans="1:11" ht="12.95" customHeight="1" x14ac:dyDescent="0.25">
      <c r="B46" s="214"/>
      <c r="C46" s="199"/>
      <c r="D46" s="199"/>
      <c r="E46" s="201"/>
      <c r="F46" s="200" t="s">
        <v>312</v>
      </c>
      <c r="G46" s="203">
        <v>910000</v>
      </c>
      <c r="H46" s="203">
        <v>1278221.5</v>
      </c>
      <c r="I46" s="208">
        <v>1000000</v>
      </c>
    </row>
    <row r="47" spans="1:11" ht="12.95" customHeight="1" x14ac:dyDescent="0.25">
      <c r="B47" s="215" t="s">
        <v>313</v>
      </c>
      <c r="C47" s="210">
        <f>SUM(C48:C49)</f>
        <v>1939436.89</v>
      </c>
      <c r="D47" s="210">
        <f>SUM(D48:D49)</f>
        <v>4220268.01</v>
      </c>
      <c r="E47" s="211">
        <f>SUM(E48:E49)</f>
        <v>3500000</v>
      </c>
      <c r="F47" s="200" t="s">
        <v>314</v>
      </c>
      <c r="G47" s="203"/>
      <c r="H47" s="203"/>
      <c r="I47" s="208"/>
    </row>
    <row r="48" spans="1:11" ht="12.95" customHeight="1" x14ac:dyDescent="0.25">
      <c r="B48" s="212" t="s">
        <v>315</v>
      </c>
      <c r="C48" s="236"/>
      <c r="D48" s="236"/>
      <c r="E48" s="208"/>
      <c r="F48" s="200" t="s">
        <v>316</v>
      </c>
      <c r="G48" s="203"/>
      <c r="H48" s="203"/>
      <c r="I48" s="208"/>
    </row>
    <row r="49" spans="2:9" ht="12.95" customHeight="1" x14ac:dyDescent="0.25">
      <c r="B49" s="212" t="s">
        <v>317</v>
      </c>
      <c r="C49" s="203">
        <v>1939436.89</v>
      </c>
      <c r="D49" s="203">
        <v>4220268.01</v>
      </c>
      <c r="E49" s="208">
        <v>3500000</v>
      </c>
      <c r="F49" s="200"/>
      <c r="G49" s="199"/>
      <c r="H49" s="216"/>
      <c r="I49" s="217"/>
    </row>
    <row r="50" spans="2:9" ht="12.95" customHeight="1" thickBot="1" x14ac:dyDescent="0.3">
      <c r="B50" s="213"/>
      <c r="C50" s="218"/>
      <c r="D50" s="218"/>
      <c r="E50" s="362"/>
      <c r="F50" s="219"/>
      <c r="G50" s="220"/>
      <c r="H50" s="220"/>
      <c r="I50" s="221"/>
    </row>
    <row r="51" spans="2:9" ht="19.5" thickTop="1" thickBot="1" x14ac:dyDescent="0.3">
      <c r="B51" s="222" t="s">
        <v>318</v>
      </c>
      <c r="C51" s="237">
        <f>C14+C38+C40+C42+C47</f>
        <v>117764768.78000003</v>
      </c>
      <c r="D51" s="237">
        <f>D14+D38+D40+D42+D47</f>
        <v>47736610.219999999</v>
      </c>
      <c r="E51" s="242">
        <f>E14+E38+E40+E42+E47</f>
        <v>214043205.06</v>
      </c>
      <c r="F51" s="223" t="s">
        <v>319</v>
      </c>
      <c r="G51" s="237">
        <f>G14+G28+G32+G37+G42</f>
        <v>114283959.41</v>
      </c>
      <c r="H51" s="237">
        <f>H14+H28+H32+H37+H42</f>
        <v>136130411.88</v>
      </c>
      <c r="I51" s="242">
        <f>I14+I28+I32+I37+I42</f>
        <v>224890521.69</v>
      </c>
    </row>
    <row r="52" spans="2:9" ht="15.75" thickTop="1" x14ac:dyDescent="0.25">
      <c r="B52" s="224"/>
      <c r="C52" s="220"/>
      <c r="D52" s="220"/>
      <c r="E52" s="221"/>
      <c r="F52" s="225"/>
      <c r="G52" s="220"/>
      <c r="H52" s="220"/>
      <c r="I52" s="221"/>
    </row>
    <row r="53" spans="2:9" ht="16.5" thickBot="1" x14ac:dyDescent="0.3">
      <c r="B53" s="226" t="s">
        <v>320</v>
      </c>
      <c r="C53" s="238">
        <f>IF(G51-C51&gt;0,G51-C51,0)</f>
        <v>0</v>
      </c>
      <c r="D53" s="238">
        <f>IF(H51-D51&gt;0,H51-D51,0)</f>
        <v>88393801.659999996</v>
      </c>
      <c r="E53" s="244">
        <f>IF(I51-E51&gt;0,I51-E51,0)</f>
        <v>10847316.629999995</v>
      </c>
      <c r="F53" s="227" t="s">
        <v>321</v>
      </c>
      <c r="G53" s="243">
        <f>IF(C51-G51&gt;0,C51-G51,0)</f>
        <v>3480809.3700000346</v>
      </c>
      <c r="H53" s="238">
        <f>IF(D51-H51&gt;0,D51-H51,0)</f>
        <v>0</v>
      </c>
      <c r="I53" s="244">
        <f>IF(E51-I51&gt;0,E51-I51,0)</f>
        <v>0</v>
      </c>
    </row>
    <row r="54" spans="2:9" x14ac:dyDescent="0.25">
      <c r="C54" s="187"/>
      <c r="D54" s="187"/>
      <c r="E54" s="187"/>
      <c r="F54" s="187"/>
      <c r="G54" s="187"/>
      <c r="H54" s="228"/>
      <c r="I54" s="187"/>
    </row>
    <row r="55" spans="2:9" x14ac:dyDescent="0.25">
      <c r="H55" s="187"/>
      <c r="I55" s="187"/>
    </row>
    <row r="56" spans="2:9" x14ac:dyDescent="0.25">
      <c r="I56" s="187"/>
    </row>
    <row r="57" spans="2:9" x14ac:dyDescent="0.25">
      <c r="I57" s="187"/>
    </row>
    <row r="59" spans="2:9" x14ac:dyDescent="0.25">
      <c r="C59" s="187"/>
      <c r="D59" s="187"/>
    </row>
    <row r="60" spans="2:9" x14ac:dyDescent="0.25">
      <c r="C60" s="187"/>
      <c r="D60" s="187"/>
      <c r="E60" s="187"/>
    </row>
    <row r="61" spans="2:9" x14ac:dyDescent="0.25">
      <c r="C61" s="187"/>
      <c r="D61" s="187"/>
      <c r="E61" s="187"/>
    </row>
    <row r="62" spans="2:9" x14ac:dyDescent="0.25">
      <c r="C62" s="187"/>
      <c r="D62" s="187"/>
      <c r="E62" s="187"/>
    </row>
    <row r="63" spans="2:9" x14ac:dyDescent="0.25">
      <c r="C63" s="187"/>
      <c r="D63" s="187"/>
      <c r="E63" s="187"/>
    </row>
    <row r="64" spans="2:9" x14ac:dyDescent="0.25">
      <c r="C64" s="187"/>
      <c r="D64" s="187"/>
      <c r="E64" s="187"/>
    </row>
    <row r="65" spans="3:5" x14ac:dyDescent="0.25">
      <c r="C65" s="187"/>
      <c r="D65" s="187"/>
      <c r="E65" s="187"/>
    </row>
    <row r="66" spans="3:5" x14ac:dyDescent="0.25">
      <c r="C66" s="187"/>
      <c r="D66" s="187"/>
      <c r="E66" s="187"/>
    </row>
    <row r="67" spans="3:5" x14ac:dyDescent="0.25">
      <c r="C67" s="187"/>
      <c r="D67" s="187"/>
      <c r="E67" s="187"/>
    </row>
    <row r="68" spans="3:5" x14ac:dyDescent="0.25">
      <c r="C68" s="187"/>
      <c r="D68" s="187"/>
      <c r="E68" s="187"/>
    </row>
    <row r="69" spans="3:5" x14ac:dyDescent="0.25">
      <c r="C69" s="187"/>
      <c r="D69" s="187"/>
      <c r="E69" s="187"/>
    </row>
    <row r="70" spans="3:5" x14ac:dyDescent="0.25">
      <c r="C70" s="187"/>
      <c r="D70" s="187"/>
      <c r="E70" s="187"/>
    </row>
    <row r="71" spans="3:5" x14ac:dyDescent="0.25">
      <c r="C71" s="187"/>
      <c r="D71" s="187"/>
      <c r="E71" s="187"/>
    </row>
    <row r="72" spans="3:5" x14ac:dyDescent="0.25">
      <c r="C72" s="187"/>
      <c r="D72" s="187"/>
      <c r="E72" s="187"/>
    </row>
    <row r="73" spans="3:5" x14ac:dyDescent="0.25">
      <c r="C73" s="187"/>
      <c r="D73" s="187"/>
      <c r="E73" s="187"/>
    </row>
    <row r="74" spans="3:5" x14ac:dyDescent="0.25">
      <c r="C74" s="187"/>
      <c r="D74" s="187"/>
      <c r="E74" s="187"/>
    </row>
    <row r="75" spans="3:5" x14ac:dyDescent="0.25">
      <c r="C75" s="187"/>
      <c r="D75" s="187"/>
      <c r="E75" s="187"/>
    </row>
    <row r="76" spans="3:5" x14ac:dyDescent="0.25">
      <c r="C76" s="187"/>
      <c r="D76" s="187"/>
      <c r="E76" s="187"/>
    </row>
    <row r="77" spans="3:5" x14ac:dyDescent="0.25">
      <c r="C77" s="187"/>
      <c r="D77" s="187"/>
      <c r="E77" s="187"/>
    </row>
    <row r="78" spans="3:5" x14ac:dyDescent="0.25">
      <c r="C78" s="187"/>
      <c r="D78" s="187"/>
      <c r="E78" s="187"/>
    </row>
    <row r="79" spans="3:5" x14ac:dyDescent="0.25">
      <c r="C79" s="187"/>
      <c r="D79" s="187"/>
      <c r="E79" s="187"/>
    </row>
    <row r="80" spans="3:5" x14ac:dyDescent="0.25">
      <c r="C80" s="187"/>
      <c r="D80" s="187"/>
      <c r="E80" s="187"/>
    </row>
    <row r="81" spans="3:5" x14ac:dyDescent="0.25">
      <c r="C81" s="187"/>
      <c r="D81" s="187"/>
      <c r="E81" s="187"/>
    </row>
    <row r="82" spans="3:5" x14ac:dyDescent="0.25">
      <c r="C82" s="187"/>
      <c r="D82" s="187"/>
      <c r="E82" s="187"/>
    </row>
    <row r="83" spans="3:5" x14ac:dyDescent="0.25">
      <c r="C83" s="187"/>
      <c r="D83" s="187"/>
      <c r="E83" s="187"/>
    </row>
  </sheetData>
  <mergeCells count="2">
    <mergeCell ref="B11:B12"/>
    <mergeCell ref="F11:F12"/>
  </mergeCells>
  <conditionalFormatting sqref="D38:E38 D40:E40 H38:I40 D21:E22 D30:E36 D16:E17 E45 D44:E44 H29:I30 I43 H44:I48 D19:E19 D24:E25 D23 E43 D48:E48 D18 H34:I35">
    <cfRule type="cellIs" dxfId="25" priority="26" stopIfTrue="1" operator="lessThan">
      <formula>0</formula>
    </cfRule>
  </conditionalFormatting>
  <conditionalFormatting sqref="C21:C25">
    <cfRule type="cellIs" dxfId="24" priority="25" stopIfTrue="1" operator="lessThan">
      <formula>0</formula>
    </cfRule>
  </conditionalFormatting>
  <conditionalFormatting sqref="C27:C28">
    <cfRule type="cellIs" dxfId="23" priority="24" stopIfTrue="1" operator="lessThan">
      <formula>0</formula>
    </cfRule>
  </conditionalFormatting>
  <conditionalFormatting sqref="C31">
    <cfRule type="cellIs" dxfId="22" priority="23" stopIfTrue="1" operator="lessThan">
      <formula>0</formula>
    </cfRule>
  </conditionalFormatting>
  <conditionalFormatting sqref="C30">
    <cfRule type="cellIs" dxfId="21" priority="22" stopIfTrue="1" operator="lessThan">
      <formula>0</formula>
    </cfRule>
  </conditionalFormatting>
  <conditionalFormatting sqref="C32:C35">
    <cfRule type="cellIs" dxfId="20" priority="21" stopIfTrue="1" operator="lessThan">
      <formula>0</formula>
    </cfRule>
  </conditionalFormatting>
  <conditionalFormatting sqref="C36">
    <cfRule type="cellIs" dxfId="19" priority="20" stopIfTrue="1" operator="lessThan">
      <formula>0</formula>
    </cfRule>
  </conditionalFormatting>
  <conditionalFormatting sqref="C38">
    <cfRule type="cellIs" dxfId="18" priority="19" stopIfTrue="1" operator="lessThan">
      <formula>0</formula>
    </cfRule>
  </conditionalFormatting>
  <conditionalFormatting sqref="C40">
    <cfRule type="cellIs" dxfId="17" priority="18" stopIfTrue="1" operator="lessThan">
      <formula>0</formula>
    </cfRule>
  </conditionalFormatting>
  <conditionalFormatting sqref="C43:C45">
    <cfRule type="cellIs" dxfId="16" priority="17" stopIfTrue="1" operator="lessThan">
      <formula>0</formula>
    </cfRule>
  </conditionalFormatting>
  <conditionalFormatting sqref="C48:C49">
    <cfRule type="cellIs" dxfId="15" priority="16" stopIfTrue="1" operator="lessThan">
      <formula>0</formula>
    </cfRule>
  </conditionalFormatting>
  <conditionalFormatting sqref="G29:G30">
    <cfRule type="cellIs" dxfId="14" priority="15" stopIfTrue="1" operator="lessThan">
      <formula>0</formula>
    </cfRule>
  </conditionalFormatting>
  <conditionalFormatting sqref="G33:G35">
    <cfRule type="cellIs" dxfId="13" priority="14" stopIfTrue="1" operator="lessThan">
      <formula>0</formula>
    </cfRule>
  </conditionalFormatting>
  <conditionalFormatting sqref="G38:G40">
    <cfRule type="cellIs" dxfId="12" priority="13" stopIfTrue="1" operator="lessThan">
      <formula>0</formula>
    </cfRule>
  </conditionalFormatting>
  <conditionalFormatting sqref="G43:G48">
    <cfRule type="cellIs" dxfId="11" priority="12" stopIfTrue="1" operator="lessThan">
      <formula>0</formula>
    </cfRule>
  </conditionalFormatting>
  <conditionalFormatting sqref="D45">
    <cfRule type="cellIs" dxfId="10" priority="11" stopIfTrue="1" operator="lessThan">
      <formula>0</formula>
    </cfRule>
  </conditionalFormatting>
  <conditionalFormatting sqref="H43">
    <cfRule type="cellIs" dxfId="9" priority="10" stopIfTrue="1" operator="lessThan">
      <formula>0</formula>
    </cfRule>
  </conditionalFormatting>
  <conditionalFormatting sqref="C16:C19">
    <cfRule type="cellIs" dxfId="8" priority="9" stopIfTrue="1" operator="lessThan">
      <formula>0</formula>
    </cfRule>
  </conditionalFormatting>
  <conditionalFormatting sqref="E18">
    <cfRule type="cellIs" dxfId="7" priority="8" stopIfTrue="1" operator="lessThan">
      <formula>0</formula>
    </cfRule>
  </conditionalFormatting>
  <conditionalFormatting sqref="D43">
    <cfRule type="cellIs" dxfId="6" priority="7" stopIfTrue="1" operator="lessThan">
      <formula>0</formula>
    </cfRule>
  </conditionalFormatting>
  <conditionalFormatting sqref="D49:E49">
    <cfRule type="cellIs" dxfId="5" priority="3" stopIfTrue="1" operator="lessThan">
      <formula>0</formula>
    </cfRule>
  </conditionalFormatting>
  <conditionalFormatting sqref="E23">
    <cfRule type="cellIs" dxfId="4" priority="6" stopIfTrue="1" operator="lessThan">
      <formula>0</formula>
    </cfRule>
  </conditionalFormatting>
  <conditionalFormatting sqref="D27:D28">
    <cfRule type="cellIs" dxfId="3" priority="5" stopIfTrue="1" operator="lessThan">
      <formula>0</formula>
    </cfRule>
  </conditionalFormatting>
  <conditionalFormatting sqref="E27">
    <cfRule type="cellIs" dxfId="2" priority="4" stopIfTrue="1" operator="lessThan">
      <formula>0</formula>
    </cfRule>
  </conditionalFormatting>
  <conditionalFormatting sqref="H33:I33">
    <cfRule type="cellIs" dxfId="1" priority="2" stopIfTrue="1" operator="lessThan">
      <formula>0</formula>
    </cfRule>
  </conditionalFormatting>
  <conditionalFormatting sqref="E28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2"/>
  <sheetViews>
    <sheetView showZeros="0" zoomScale="75" zoomScaleNormal="75" workbookViewId="0">
      <selection activeCell="C46" sqref="C46"/>
    </sheetView>
  </sheetViews>
  <sheetFormatPr baseColWidth="10" defaultRowHeight="12.75" x14ac:dyDescent="0.2"/>
  <cols>
    <col min="1" max="1" width="3.85546875" style="249" customWidth="1"/>
    <col min="2" max="2" width="38" style="249" customWidth="1"/>
    <col min="3" max="3" width="15" style="249" customWidth="1"/>
    <col min="4" max="4" width="15.140625" style="249" customWidth="1"/>
    <col min="5" max="5" width="12.7109375" style="249" customWidth="1"/>
    <col min="6" max="6" width="10.7109375" style="249" customWidth="1"/>
    <col min="7" max="7" width="18.140625" style="249" customWidth="1"/>
    <col min="8" max="8" width="19.5703125" style="249" bestFit="1" customWidth="1"/>
    <col min="9" max="9" width="17.140625" style="249" customWidth="1"/>
    <col min="10" max="10" width="25.140625" style="249" bestFit="1" customWidth="1"/>
    <col min="11" max="11" width="15.5703125" style="249" bestFit="1" customWidth="1"/>
    <col min="12" max="12" width="10.7109375" style="249" customWidth="1"/>
    <col min="13" max="13" width="15.7109375" style="249" bestFit="1" customWidth="1"/>
    <col min="14" max="14" width="20" style="249" bestFit="1" customWidth="1"/>
    <col min="15" max="15" width="11.42578125" style="249"/>
    <col min="16" max="16" width="5.85546875" style="249" customWidth="1"/>
    <col min="17" max="17" width="5.140625" style="249" customWidth="1"/>
    <col min="18" max="18" width="15.85546875" style="249" customWidth="1"/>
    <col min="19" max="19" width="17" style="249" customWidth="1"/>
    <col min="20" max="20" width="20.140625" style="249" customWidth="1"/>
    <col min="21" max="21" width="11.42578125" style="249"/>
    <col min="22" max="22" width="17" style="249" customWidth="1"/>
    <col min="23" max="16384" width="11.42578125" style="249"/>
  </cols>
  <sheetData>
    <row r="1" spans="2:20" ht="20.25" customHeight="1" thickBot="1" x14ac:dyDescent="0.25"/>
    <row r="2" spans="2:20" ht="20.25" customHeight="1" thickTop="1" thickBot="1" x14ac:dyDescent="0.3">
      <c r="B2" s="250" t="s">
        <v>354</v>
      </c>
      <c r="G2" s="251" t="s">
        <v>322</v>
      </c>
      <c r="O2" s="252" t="s">
        <v>323</v>
      </c>
    </row>
    <row r="3" spans="2:20" ht="19.5" customHeight="1" thickTop="1" x14ac:dyDescent="0.25">
      <c r="B3" s="253" t="s">
        <v>353</v>
      </c>
      <c r="G3" s="254"/>
    </row>
    <row r="4" spans="2:20" ht="20.25" customHeight="1" x14ac:dyDescent="0.25">
      <c r="B4" s="253" t="s">
        <v>352</v>
      </c>
      <c r="C4" s="250"/>
      <c r="D4" s="250"/>
      <c r="E4" s="250"/>
      <c r="F4" s="250"/>
      <c r="G4" s="250"/>
      <c r="H4" s="250"/>
      <c r="J4" s="254"/>
      <c r="K4" s="254"/>
      <c r="L4" s="254"/>
    </row>
    <row r="5" spans="2:20" ht="20.25" customHeight="1" x14ac:dyDescent="0.25">
      <c r="B5" s="253" t="s">
        <v>1</v>
      </c>
      <c r="C5" s="250"/>
      <c r="D5" s="250"/>
      <c r="E5" s="250"/>
      <c r="F5" s="250"/>
      <c r="G5" s="250"/>
      <c r="H5" s="250"/>
      <c r="J5" s="254"/>
      <c r="K5" s="254"/>
      <c r="L5" s="254"/>
      <c r="M5" s="253"/>
    </row>
    <row r="6" spans="2:20" ht="6.75" customHeight="1" thickBot="1" x14ac:dyDescent="0.25">
      <c r="B6" s="255"/>
      <c r="C6" s="255"/>
      <c r="D6" s="255"/>
      <c r="E6" s="255"/>
      <c r="F6" s="255"/>
      <c r="H6" s="255"/>
      <c r="I6" s="256"/>
      <c r="J6" s="257"/>
      <c r="K6" s="257"/>
      <c r="L6" s="257"/>
      <c r="M6" s="255"/>
      <c r="N6" s="257"/>
    </row>
    <row r="7" spans="2:20" ht="22.5" customHeight="1" x14ac:dyDescent="0.25">
      <c r="B7" s="258" t="s">
        <v>324</v>
      </c>
      <c r="C7" s="259" t="s">
        <v>325</v>
      </c>
      <c r="D7" s="379" t="s">
        <v>326</v>
      </c>
      <c r="E7" s="380"/>
      <c r="F7" s="380"/>
      <c r="G7" s="380"/>
      <c r="H7" s="381"/>
      <c r="I7" s="259" t="s">
        <v>325</v>
      </c>
      <c r="J7" s="379" t="s">
        <v>327</v>
      </c>
      <c r="K7" s="380"/>
      <c r="L7" s="380"/>
      <c r="M7" s="380"/>
      <c r="N7" s="381"/>
      <c r="O7" s="260" t="s">
        <v>328</v>
      </c>
    </row>
    <row r="8" spans="2:20" ht="18" customHeight="1" thickBot="1" x14ac:dyDescent="0.3">
      <c r="B8" s="261" t="s">
        <v>329</v>
      </c>
      <c r="C8" s="262" t="s">
        <v>330</v>
      </c>
      <c r="D8" s="263" t="s">
        <v>331</v>
      </c>
      <c r="E8" s="264" t="s">
        <v>332</v>
      </c>
      <c r="F8" s="264" t="s">
        <v>333</v>
      </c>
      <c r="G8" s="264" t="s">
        <v>334</v>
      </c>
      <c r="H8" s="265" t="s">
        <v>335</v>
      </c>
      <c r="I8" s="266" t="s">
        <v>336</v>
      </c>
      <c r="J8" s="263" t="s">
        <v>331</v>
      </c>
      <c r="K8" s="264" t="s">
        <v>332</v>
      </c>
      <c r="L8" s="264" t="s">
        <v>333</v>
      </c>
      <c r="M8" s="264" t="s">
        <v>334</v>
      </c>
      <c r="N8" s="265" t="s">
        <v>337</v>
      </c>
      <c r="O8" s="267" t="s">
        <v>338</v>
      </c>
    </row>
    <row r="9" spans="2:20" ht="15" customHeight="1" thickTop="1" x14ac:dyDescent="0.2">
      <c r="B9" s="268"/>
      <c r="C9" s="269"/>
      <c r="D9" s="269"/>
      <c r="E9" s="269"/>
      <c r="F9" s="269"/>
      <c r="G9" s="269"/>
      <c r="H9" s="270">
        <f t="shared" ref="H9:H38" si="0">SUM(D9:G9)</f>
        <v>0</v>
      </c>
      <c r="I9" s="269"/>
      <c r="J9" s="271"/>
      <c r="K9" s="271"/>
      <c r="L9" s="271"/>
      <c r="M9" s="271"/>
      <c r="N9" s="270">
        <f t="shared" ref="N9:N38" si="1">SUM(J9:M9)</f>
        <v>0</v>
      </c>
      <c r="O9" s="272" t="str">
        <f t="shared" ref="O9:O39" si="2">IF(H9=0," ",(H9/N9)-1)</f>
        <v xml:space="preserve"> </v>
      </c>
    </row>
    <row r="10" spans="2:20" ht="15" customHeight="1" x14ac:dyDescent="0.25">
      <c r="B10" s="268" t="s">
        <v>339</v>
      </c>
      <c r="C10" s="273">
        <v>2</v>
      </c>
      <c r="D10" s="274">
        <f>182309.94/1.01</f>
        <v>180504.89108910892</v>
      </c>
      <c r="E10" s="274">
        <v>0</v>
      </c>
      <c r="F10" s="274">
        <v>0</v>
      </c>
      <c r="G10" s="274">
        <v>27817.4</v>
      </c>
      <c r="H10" s="275">
        <f t="shared" si="0"/>
        <v>208322.29108910891</v>
      </c>
      <c r="I10" s="269">
        <v>2</v>
      </c>
      <c r="J10" s="276">
        <v>181015.26</v>
      </c>
      <c r="K10" s="274"/>
      <c r="L10" s="274"/>
      <c r="M10" s="274">
        <v>27818.880000000001</v>
      </c>
      <c r="N10" s="275">
        <f>SUM(J10:M10)</f>
        <v>208834.14</v>
      </c>
      <c r="O10" s="277">
        <f t="shared" si="2"/>
        <v>-2.450982923056122E-3</v>
      </c>
    </row>
    <row r="11" spans="2:20" ht="15" customHeight="1" x14ac:dyDescent="0.25">
      <c r="B11" s="268" t="s">
        <v>340</v>
      </c>
      <c r="C11" s="273">
        <v>5</v>
      </c>
      <c r="D11" s="274">
        <f>404803.22/1.01</f>
        <v>400795.26732673263</v>
      </c>
      <c r="E11" s="274">
        <v>21790.26</v>
      </c>
      <c r="F11" s="274">
        <v>0</v>
      </c>
      <c r="G11" s="274">
        <v>68642</v>
      </c>
      <c r="H11" s="275">
        <f t="shared" si="0"/>
        <v>491227.52732673264</v>
      </c>
      <c r="I11" s="278">
        <v>5</v>
      </c>
      <c r="J11" s="279">
        <v>404433.93</v>
      </c>
      <c r="K11" s="274">
        <v>21289.4</v>
      </c>
      <c r="L11" s="274"/>
      <c r="M11" s="274">
        <v>68696.86</v>
      </c>
      <c r="N11" s="275">
        <f t="shared" si="1"/>
        <v>494420.19</v>
      </c>
      <c r="O11" s="277">
        <f t="shared" si="2"/>
        <v>-6.4573873353904743E-3</v>
      </c>
    </row>
    <row r="12" spans="2:20" ht="15" customHeight="1" x14ac:dyDescent="0.25">
      <c r="B12" s="268" t="s">
        <v>341</v>
      </c>
      <c r="C12" s="273">
        <v>1</v>
      </c>
      <c r="D12" s="274">
        <f>60372.13/1.01</f>
        <v>59774.38613861386</v>
      </c>
      <c r="E12" s="274">
        <v>3157.92</v>
      </c>
      <c r="F12" s="274"/>
      <c r="G12" s="274">
        <v>13909.44</v>
      </c>
      <c r="H12" s="275">
        <f t="shared" si="0"/>
        <v>76841.74613861386</v>
      </c>
      <c r="I12" s="278">
        <v>1</v>
      </c>
      <c r="J12" s="279">
        <v>51484.47</v>
      </c>
      <c r="K12" s="274">
        <v>2953.46</v>
      </c>
      <c r="L12" s="274"/>
      <c r="M12" s="274">
        <v>12209.4</v>
      </c>
      <c r="N12" s="275">
        <f t="shared" si="1"/>
        <v>66647.33</v>
      </c>
      <c r="O12" s="277">
        <f t="shared" si="2"/>
        <v>0.15296060830364633</v>
      </c>
      <c r="R12" s="280"/>
      <c r="S12" s="280"/>
      <c r="T12" s="280"/>
    </row>
    <row r="13" spans="2:20" ht="15" customHeight="1" x14ac:dyDescent="0.25">
      <c r="B13" s="268" t="s">
        <v>342</v>
      </c>
      <c r="C13" s="273">
        <v>18</v>
      </c>
      <c r="D13" s="274">
        <f>1055642/1.01</f>
        <v>1045190.0990099009</v>
      </c>
      <c r="E13" s="274">
        <v>75012</v>
      </c>
      <c r="F13" s="274"/>
      <c r="G13" s="274">
        <v>255364</v>
      </c>
      <c r="H13" s="275">
        <f t="shared" si="0"/>
        <v>1375566.0990099008</v>
      </c>
      <c r="I13" s="278">
        <v>19</v>
      </c>
      <c r="J13" s="279">
        <v>1166382.5</v>
      </c>
      <c r="K13" s="274">
        <v>75688.259999999995</v>
      </c>
      <c r="L13" s="274"/>
      <c r="M13" s="274">
        <v>255770.79</v>
      </c>
      <c r="N13" s="275">
        <f t="shared" si="1"/>
        <v>1497841.55</v>
      </c>
      <c r="O13" s="277">
        <f t="shared" si="2"/>
        <v>-8.1634436559794521E-2</v>
      </c>
      <c r="R13" s="281"/>
      <c r="S13" s="281"/>
      <c r="T13" s="280"/>
    </row>
    <row r="14" spans="2:20" ht="15" customHeight="1" x14ac:dyDescent="0.25">
      <c r="B14" s="268" t="s">
        <v>343</v>
      </c>
      <c r="C14" s="273">
        <v>11</v>
      </c>
      <c r="D14" s="274">
        <f>527559.26/1.01</f>
        <v>522335.90099009901</v>
      </c>
      <c r="E14" s="274">
        <v>42436.12</v>
      </c>
      <c r="F14" s="274"/>
      <c r="G14" s="274">
        <v>148650</v>
      </c>
      <c r="H14" s="275">
        <f t="shared" si="0"/>
        <v>713422.02099009906</v>
      </c>
      <c r="I14" s="278">
        <v>10</v>
      </c>
      <c r="J14" s="279">
        <v>677460.31</v>
      </c>
      <c r="K14" s="274">
        <v>46651.81</v>
      </c>
      <c r="L14" s="274"/>
      <c r="M14" s="274">
        <v>162525.54</v>
      </c>
      <c r="N14" s="275">
        <f t="shared" si="1"/>
        <v>886637.66000000015</v>
      </c>
      <c r="O14" s="277">
        <f t="shared" si="2"/>
        <v>-0.19536237498630615</v>
      </c>
      <c r="R14" s="281"/>
      <c r="S14" s="281"/>
      <c r="T14" s="280"/>
    </row>
    <row r="15" spans="2:20" ht="15" customHeight="1" x14ac:dyDescent="0.25">
      <c r="B15" s="268" t="s">
        <v>344</v>
      </c>
      <c r="C15" s="273">
        <v>39</v>
      </c>
      <c r="D15" s="274">
        <f>1801276/1.01</f>
        <v>1783441.5841584159</v>
      </c>
      <c r="E15" s="274">
        <v>133318</v>
      </c>
      <c r="F15" s="274"/>
      <c r="G15" s="274">
        <v>516928</v>
      </c>
      <c r="H15" s="275">
        <f t="shared" si="0"/>
        <v>2433687.5841584159</v>
      </c>
      <c r="I15" s="278">
        <v>40</v>
      </c>
      <c r="J15" s="279">
        <v>1891464.1300000001</v>
      </c>
      <c r="K15" s="274">
        <v>131563.65</v>
      </c>
      <c r="L15" s="274"/>
      <c r="M15" s="274">
        <v>529474.06000000006</v>
      </c>
      <c r="N15" s="275">
        <f t="shared" si="1"/>
        <v>2552501.84</v>
      </c>
      <c r="O15" s="277">
        <f t="shared" si="2"/>
        <v>-4.6548156784711248E-2</v>
      </c>
      <c r="R15" s="281"/>
      <c r="S15" s="281"/>
      <c r="T15" s="280"/>
    </row>
    <row r="16" spans="2:20" ht="15.75" customHeight="1" x14ac:dyDescent="0.25">
      <c r="B16" s="268" t="s">
        <v>345</v>
      </c>
      <c r="C16" s="273">
        <v>35</v>
      </c>
      <c r="D16" s="274">
        <f>1771969.87/1.01</f>
        <v>1754425.6138613862</v>
      </c>
      <c r="E16" s="274">
        <v>99687.86</v>
      </c>
      <c r="F16" s="274"/>
      <c r="G16" s="274">
        <v>392243.88</v>
      </c>
      <c r="H16" s="275">
        <f t="shared" si="0"/>
        <v>2246357.3538613864</v>
      </c>
      <c r="I16" s="278">
        <v>34</v>
      </c>
      <c r="J16" s="279">
        <v>1277202.7</v>
      </c>
      <c r="K16" s="274">
        <v>104780.93</v>
      </c>
      <c r="L16" s="274"/>
      <c r="M16" s="274">
        <v>406466.5</v>
      </c>
      <c r="N16" s="275">
        <f t="shared" si="1"/>
        <v>1788450.13</v>
      </c>
      <c r="O16" s="277">
        <f t="shared" si="2"/>
        <v>0.25603577990815252</v>
      </c>
      <c r="R16" s="281"/>
      <c r="S16" s="281"/>
      <c r="T16" s="280"/>
    </row>
    <row r="17" spans="2:20" ht="15" customHeight="1" x14ac:dyDescent="0.25">
      <c r="B17" s="268" t="s">
        <v>346</v>
      </c>
      <c r="C17" s="273">
        <v>31</v>
      </c>
      <c r="D17" s="274">
        <f>1038417.2/1.01</f>
        <v>1028135.8415841584</v>
      </c>
      <c r="E17" s="274">
        <v>137634.23999999999</v>
      </c>
      <c r="F17" s="274"/>
      <c r="G17" s="274">
        <v>348048.38</v>
      </c>
      <c r="H17" s="275">
        <f t="shared" si="0"/>
        <v>1513818.4615841582</v>
      </c>
      <c r="I17" s="278">
        <v>32</v>
      </c>
      <c r="J17" s="279">
        <v>741695.83000000007</v>
      </c>
      <c r="K17" s="274">
        <v>139547.23000000001</v>
      </c>
      <c r="L17" s="274"/>
      <c r="M17" s="274">
        <v>349040.88</v>
      </c>
      <c r="N17" s="275">
        <f t="shared" si="1"/>
        <v>1230283.94</v>
      </c>
      <c r="O17" s="277">
        <f t="shared" si="2"/>
        <v>0.23046266992980358</v>
      </c>
      <c r="R17" s="281"/>
      <c r="S17" s="281"/>
      <c r="T17" s="280"/>
    </row>
    <row r="18" spans="2:20" ht="15" customHeight="1" x14ac:dyDescent="0.25">
      <c r="B18" s="268" t="s">
        <v>347</v>
      </c>
      <c r="C18" s="273">
        <v>53</v>
      </c>
      <c r="D18" s="274">
        <f>1738967.58/1.01</f>
        <v>1721750.0792079209</v>
      </c>
      <c r="E18" s="274">
        <v>243841.5</v>
      </c>
      <c r="F18" s="274"/>
      <c r="G18" s="274">
        <v>600848.64000000001</v>
      </c>
      <c r="H18" s="275">
        <f t="shared" si="0"/>
        <v>2566440.2192079211</v>
      </c>
      <c r="I18" s="278">
        <v>50</v>
      </c>
      <c r="J18" s="279">
        <v>1313995.01</v>
      </c>
      <c r="K18" s="274">
        <v>210644.13</v>
      </c>
      <c r="L18" s="274"/>
      <c r="M18" s="274">
        <v>551338.79</v>
      </c>
      <c r="N18" s="275">
        <f t="shared" si="1"/>
        <v>2075977.9300000002</v>
      </c>
      <c r="O18" s="277">
        <f t="shared" si="2"/>
        <v>0.23625602282193858</v>
      </c>
      <c r="R18" s="281"/>
      <c r="S18" s="281"/>
      <c r="T18" s="280"/>
    </row>
    <row r="19" spans="2:20" ht="15" customHeight="1" x14ac:dyDescent="0.25">
      <c r="B19" s="268" t="s">
        <v>348</v>
      </c>
      <c r="C19" s="273">
        <v>62</v>
      </c>
      <c r="D19" s="274">
        <f>1283524/1.01</f>
        <v>1270815.8415841584</v>
      </c>
      <c r="E19" s="274">
        <v>177359.35999999999</v>
      </c>
      <c r="F19" s="274"/>
      <c r="G19" s="274">
        <v>515013.12</v>
      </c>
      <c r="H19" s="275">
        <f t="shared" si="0"/>
        <v>1963188.3215841586</v>
      </c>
      <c r="I19" s="278">
        <v>63</v>
      </c>
      <c r="J19" s="279">
        <v>1396138.89</v>
      </c>
      <c r="K19" s="274">
        <v>231199.43</v>
      </c>
      <c r="L19" s="274"/>
      <c r="M19" s="274">
        <v>572770.77</v>
      </c>
      <c r="N19" s="275">
        <f t="shared" si="1"/>
        <v>2200109.09</v>
      </c>
      <c r="O19" s="277">
        <f t="shared" si="2"/>
        <v>-0.10768591861771781</v>
      </c>
      <c r="R19" s="281"/>
      <c r="S19" s="281"/>
      <c r="T19" s="280"/>
    </row>
    <row r="20" spans="2:20" ht="15" customHeight="1" x14ac:dyDescent="0.25">
      <c r="B20" s="268" t="s">
        <v>349</v>
      </c>
      <c r="C20" s="273">
        <v>16</v>
      </c>
      <c r="D20" s="274">
        <f>350773.92/1.01</f>
        <v>347300.91089108906</v>
      </c>
      <c r="E20" s="274">
        <v>23810.720000000001</v>
      </c>
      <c r="F20" s="274"/>
      <c r="G20" s="274">
        <v>108759.84</v>
      </c>
      <c r="H20" s="275">
        <f t="shared" si="0"/>
        <v>479871.47089108906</v>
      </c>
      <c r="I20" s="278">
        <v>16</v>
      </c>
      <c r="J20" s="279">
        <v>381308.19</v>
      </c>
      <c r="K20" s="274">
        <v>25590.55</v>
      </c>
      <c r="L20" s="274"/>
      <c r="M20" s="274">
        <v>112562.4</v>
      </c>
      <c r="N20" s="275">
        <f t="shared" si="1"/>
        <v>519461.14</v>
      </c>
      <c r="O20" s="277">
        <f t="shared" si="2"/>
        <v>-7.6212956197091009E-2</v>
      </c>
      <c r="R20" s="281"/>
      <c r="S20" s="280"/>
      <c r="T20" s="280"/>
    </row>
    <row r="21" spans="2:20" ht="15" customHeight="1" x14ac:dyDescent="0.25">
      <c r="B21" s="268" t="s">
        <v>350</v>
      </c>
      <c r="C21" s="273">
        <v>5</v>
      </c>
      <c r="D21" s="274">
        <f>105549.86/1.01</f>
        <v>104504.81188118811</v>
      </c>
      <c r="E21" s="274">
        <v>13056.33</v>
      </c>
      <c r="F21" s="274"/>
      <c r="G21" s="274">
        <v>75148</v>
      </c>
      <c r="H21" s="275">
        <f t="shared" si="0"/>
        <v>192709.14188118812</v>
      </c>
      <c r="I21" s="278">
        <v>5</v>
      </c>
      <c r="J21" s="279">
        <v>112923.4</v>
      </c>
      <c r="K21" s="274">
        <v>13125.84</v>
      </c>
      <c r="L21" s="274"/>
      <c r="M21" s="274">
        <v>37251.83</v>
      </c>
      <c r="N21" s="275">
        <f t="shared" si="1"/>
        <v>163301.07</v>
      </c>
      <c r="O21" s="277">
        <f t="shared" si="2"/>
        <v>0.18008499197946537</v>
      </c>
      <c r="R21" s="281"/>
      <c r="S21" s="281"/>
      <c r="T21" s="281"/>
    </row>
    <row r="22" spans="2:20" ht="15" customHeight="1" x14ac:dyDescent="0.25">
      <c r="B22" s="268"/>
      <c r="C22" s="273"/>
      <c r="D22" s="273"/>
      <c r="E22" s="273"/>
      <c r="F22" s="273"/>
      <c r="G22" s="273"/>
      <c r="H22" s="275">
        <f t="shared" si="0"/>
        <v>0</v>
      </c>
      <c r="I22" s="278"/>
      <c r="J22" s="273"/>
      <c r="K22" s="273"/>
      <c r="L22" s="273"/>
      <c r="M22" s="273"/>
      <c r="N22" s="275">
        <f t="shared" si="1"/>
        <v>0</v>
      </c>
      <c r="O22" s="277" t="str">
        <f t="shared" si="2"/>
        <v xml:space="preserve"> </v>
      </c>
      <c r="R22" s="281"/>
      <c r="S22" s="281"/>
      <c r="T22" s="281"/>
    </row>
    <row r="23" spans="2:20" ht="15" customHeight="1" x14ac:dyDescent="0.25">
      <c r="B23" s="268"/>
      <c r="C23" s="273"/>
      <c r="D23" s="273"/>
      <c r="E23" s="273"/>
      <c r="F23" s="273"/>
      <c r="G23" s="273"/>
      <c r="H23" s="275">
        <f t="shared" si="0"/>
        <v>0</v>
      </c>
      <c r="I23" s="278"/>
      <c r="J23" s="273"/>
      <c r="K23" s="273"/>
      <c r="L23" s="273"/>
      <c r="M23" s="273"/>
      <c r="N23" s="275">
        <f t="shared" si="1"/>
        <v>0</v>
      </c>
      <c r="O23" s="277" t="str">
        <f t="shared" si="2"/>
        <v xml:space="preserve"> </v>
      </c>
      <c r="R23" s="281"/>
      <c r="S23" s="281"/>
      <c r="T23" s="281"/>
    </row>
    <row r="24" spans="2:20" ht="15" customHeight="1" x14ac:dyDescent="0.2">
      <c r="B24" s="268"/>
      <c r="C24" s="273"/>
      <c r="D24" s="273"/>
      <c r="E24" s="273"/>
      <c r="F24" s="273"/>
      <c r="G24" s="273"/>
      <c r="H24" s="275">
        <f t="shared" si="0"/>
        <v>0</v>
      </c>
      <c r="I24" s="278"/>
      <c r="J24" s="273"/>
      <c r="K24" s="273"/>
      <c r="L24" s="273"/>
      <c r="M24" s="273"/>
      <c r="N24" s="275">
        <f t="shared" si="1"/>
        <v>0</v>
      </c>
      <c r="O24" s="277" t="str">
        <f t="shared" si="2"/>
        <v xml:space="preserve"> </v>
      </c>
      <c r="R24" s="282"/>
      <c r="S24" s="282"/>
      <c r="T24" s="282"/>
    </row>
    <row r="25" spans="2:20" ht="15" customHeight="1" x14ac:dyDescent="0.2">
      <c r="B25" s="268"/>
      <c r="C25" s="273"/>
      <c r="D25" s="273"/>
      <c r="E25" s="273"/>
      <c r="F25" s="273"/>
      <c r="G25" s="273"/>
      <c r="H25" s="275">
        <f t="shared" si="0"/>
        <v>0</v>
      </c>
      <c r="I25" s="278"/>
      <c r="J25" s="273"/>
      <c r="K25" s="273"/>
      <c r="L25" s="273"/>
      <c r="M25" s="273"/>
      <c r="N25" s="275">
        <f t="shared" si="1"/>
        <v>0</v>
      </c>
      <c r="O25" s="277" t="str">
        <f t="shared" si="2"/>
        <v xml:space="preserve"> </v>
      </c>
      <c r="R25" s="282"/>
      <c r="S25" s="282"/>
      <c r="T25" s="282"/>
    </row>
    <row r="26" spans="2:20" ht="15" customHeight="1" x14ac:dyDescent="0.2">
      <c r="B26" s="268"/>
      <c r="C26" s="273"/>
      <c r="D26" s="273"/>
      <c r="E26" s="273"/>
      <c r="F26" s="273"/>
      <c r="G26" s="273"/>
      <c r="H26" s="275">
        <f t="shared" si="0"/>
        <v>0</v>
      </c>
      <c r="I26" s="278"/>
      <c r="J26" s="273"/>
      <c r="K26" s="273"/>
      <c r="L26" s="273"/>
      <c r="M26" s="273"/>
      <c r="N26" s="275">
        <f t="shared" si="1"/>
        <v>0</v>
      </c>
      <c r="O26" s="277" t="str">
        <f t="shared" si="2"/>
        <v xml:space="preserve"> </v>
      </c>
    </row>
    <row r="27" spans="2:20" ht="15" customHeight="1" x14ac:dyDescent="0.2">
      <c r="B27" s="268"/>
      <c r="C27" s="273"/>
      <c r="D27" s="273"/>
      <c r="E27" s="273"/>
      <c r="F27" s="273"/>
      <c r="G27" s="273"/>
      <c r="H27" s="275">
        <f t="shared" si="0"/>
        <v>0</v>
      </c>
      <c r="I27" s="278"/>
      <c r="J27" s="273"/>
      <c r="K27" s="273"/>
      <c r="L27" s="273"/>
      <c r="M27" s="273"/>
      <c r="N27" s="275">
        <f t="shared" si="1"/>
        <v>0</v>
      </c>
      <c r="O27" s="277" t="str">
        <f t="shared" si="2"/>
        <v xml:space="preserve"> </v>
      </c>
    </row>
    <row r="28" spans="2:20" ht="15" customHeight="1" x14ac:dyDescent="0.2">
      <c r="B28" s="268"/>
      <c r="C28" s="273"/>
      <c r="D28" s="273"/>
      <c r="E28" s="273"/>
      <c r="F28" s="273"/>
      <c r="G28" s="273"/>
      <c r="H28" s="275">
        <f t="shared" si="0"/>
        <v>0</v>
      </c>
      <c r="I28" s="278"/>
      <c r="J28" s="273"/>
      <c r="K28" s="273"/>
      <c r="L28" s="273"/>
      <c r="M28" s="273"/>
      <c r="N28" s="275">
        <f t="shared" si="1"/>
        <v>0</v>
      </c>
      <c r="O28" s="277" t="str">
        <f t="shared" si="2"/>
        <v xml:space="preserve"> </v>
      </c>
    </row>
    <row r="29" spans="2:20" ht="15" customHeight="1" x14ac:dyDescent="0.2">
      <c r="B29" s="268"/>
      <c r="C29" s="273"/>
      <c r="D29" s="273"/>
      <c r="E29" s="273"/>
      <c r="F29" s="273"/>
      <c r="G29" s="273"/>
      <c r="H29" s="275">
        <f t="shared" si="0"/>
        <v>0</v>
      </c>
      <c r="I29" s="278"/>
      <c r="J29" s="273"/>
      <c r="K29" s="273"/>
      <c r="L29" s="273"/>
      <c r="M29" s="273"/>
      <c r="N29" s="275">
        <f t="shared" si="1"/>
        <v>0</v>
      </c>
      <c r="O29" s="277" t="str">
        <f t="shared" si="2"/>
        <v xml:space="preserve"> </v>
      </c>
    </row>
    <row r="30" spans="2:20" ht="15" customHeight="1" x14ac:dyDescent="0.2">
      <c r="B30" s="268"/>
      <c r="C30" s="273"/>
      <c r="D30" s="273"/>
      <c r="E30" s="273"/>
      <c r="F30" s="273"/>
      <c r="G30" s="273"/>
      <c r="H30" s="275">
        <f t="shared" si="0"/>
        <v>0</v>
      </c>
      <c r="I30" s="278"/>
      <c r="J30" s="273"/>
      <c r="K30" s="273"/>
      <c r="L30" s="273"/>
      <c r="M30" s="273"/>
      <c r="N30" s="275">
        <f t="shared" si="1"/>
        <v>0</v>
      </c>
      <c r="O30" s="277" t="str">
        <f t="shared" si="2"/>
        <v xml:space="preserve"> </v>
      </c>
    </row>
    <row r="31" spans="2:20" ht="15" customHeight="1" x14ac:dyDescent="0.2">
      <c r="B31" s="268"/>
      <c r="C31" s="273"/>
      <c r="D31" s="273"/>
      <c r="E31" s="273"/>
      <c r="F31" s="273"/>
      <c r="G31" s="273"/>
      <c r="H31" s="275">
        <f t="shared" si="0"/>
        <v>0</v>
      </c>
      <c r="I31" s="278"/>
      <c r="J31" s="273"/>
      <c r="K31" s="273"/>
      <c r="L31" s="273"/>
      <c r="M31" s="273"/>
      <c r="N31" s="275">
        <f t="shared" si="1"/>
        <v>0</v>
      </c>
      <c r="O31" s="277" t="str">
        <f t="shared" si="2"/>
        <v xml:space="preserve"> </v>
      </c>
    </row>
    <row r="32" spans="2:20" ht="15" customHeight="1" x14ac:dyDescent="0.2">
      <c r="B32" s="268"/>
      <c r="C32" s="273"/>
      <c r="D32" s="273"/>
      <c r="E32" s="273"/>
      <c r="F32" s="273"/>
      <c r="G32" s="273"/>
      <c r="H32" s="275">
        <f t="shared" si="0"/>
        <v>0</v>
      </c>
      <c r="I32" s="278"/>
      <c r="J32" s="273"/>
      <c r="K32" s="273"/>
      <c r="L32" s="273"/>
      <c r="M32" s="273"/>
      <c r="N32" s="275">
        <f t="shared" si="1"/>
        <v>0</v>
      </c>
      <c r="O32" s="277" t="str">
        <f t="shared" si="2"/>
        <v xml:space="preserve"> </v>
      </c>
    </row>
    <row r="33" spans="2:15" ht="15" customHeight="1" x14ac:dyDescent="0.2">
      <c r="B33" s="268"/>
      <c r="C33" s="273"/>
      <c r="D33" s="273"/>
      <c r="E33" s="273"/>
      <c r="F33" s="273"/>
      <c r="G33" s="273"/>
      <c r="H33" s="275">
        <f t="shared" si="0"/>
        <v>0</v>
      </c>
      <c r="I33" s="278"/>
      <c r="J33" s="273"/>
      <c r="K33" s="273"/>
      <c r="L33" s="273"/>
      <c r="M33" s="273"/>
      <c r="N33" s="275">
        <f t="shared" si="1"/>
        <v>0</v>
      </c>
      <c r="O33" s="277" t="str">
        <f t="shared" si="2"/>
        <v xml:space="preserve"> </v>
      </c>
    </row>
    <row r="34" spans="2:15" ht="15" customHeight="1" x14ac:dyDescent="0.2">
      <c r="B34" s="268"/>
      <c r="C34" s="273"/>
      <c r="D34" s="273"/>
      <c r="E34" s="273"/>
      <c r="F34" s="273"/>
      <c r="G34" s="273"/>
      <c r="H34" s="275">
        <f t="shared" si="0"/>
        <v>0</v>
      </c>
      <c r="I34" s="278"/>
      <c r="J34" s="273"/>
      <c r="K34" s="273"/>
      <c r="L34" s="273"/>
      <c r="M34" s="273"/>
      <c r="N34" s="275">
        <f t="shared" si="1"/>
        <v>0</v>
      </c>
      <c r="O34" s="277" t="str">
        <f t="shared" si="2"/>
        <v xml:space="preserve"> </v>
      </c>
    </row>
    <row r="35" spans="2:15" ht="15" customHeight="1" x14ac:dyDescent="0.2">
      <c r="B35" s="268"/>
      <c r="C35" s="273"/>
      <c r="D35" s="273"/>
      <c r="E35" s="273"/>
      <c r="F35" s="273"/>
      <c r="G35" s="273"/>
      <c r="H35" s="275">
        <f t="shared" si="0"/>
        <v>0</v>
      </c>
      <c r="I35" s="278"/>
      <c r="J35" s="273"/>
      <c r="K35" s="273"/>
      <c r="L35" s="273"/>
      <c r="M35" s="273"/>
      <c r="N35" s="275">
        <f t="shared" si="1"/>
        <v>0</v>
      </c>
      <c r="O35" s="277" t="str">
        <f t="shared" si="2"/>
        <v xml:space="preserve"> </v>
      </c>
    </row>
    <row r="36" spans="2:15" ht="15" customHeight="1" x14ac:dyDescent="0.2">
      <c r="B36" s="268"/>
      <c r="C36" s="273"/>
      <c r="D36" s="273"/>
      <c r="E36" s="273"/>
      <c r="F36" s="273"/>
      <c r="G36" s="273"/>
      <c r="H36" s="275">
        <f t="shared" si="0"/>
        <v>0</v>
      </c>
      <c r="I36" s="278"/>
      <c r="J36" s="273"/>
      <c r="K36" s="273"/>
      <c r="L36" s="273"/>
      <c r="M36" s="273"/>
      <c r="N36" s="275">
        <f t="shared" si="1"/>
        <v>0</v>
      </c>
      <c r="O36" s="277" t="str">
        <f t="shared" si="2"/>
        <v xml:space="preserve"> </v>
      </c>
    </row>
    <row r="37" spans="2:15" ht="15" customHeight="1" x14ac:dyDescent="0.2">
      <c r="B37" s="268"/>
      <c r="C37" s="273"/>
      <c r="D37" s="273"/>
      <c r="E37" s="273"/>
      <c r="F37" s="273"/>
      <c r="G37" s="273"/>
      <c r="H37" s="275">
        <f t="shared" si="0"/>
        <v>0</v>
      </c>
      <c r="I37" s="278"/>
      <c r="J37" s="273"/>
      <c r="K37" s="273"/>
      <c r="L37" s="273"/>
      <c r="M37" s="273"/>
      <c r="N37" s="275">
        <f t="shared" si="1"/>
        <v>0</v>
      </c>
      <c r="O37" s="277" t="str">
        <f t="shared" si="2"/>
        <v xml:space="preserve"> </v>
      </c>
    </row>
    <row r="38" spans="2:15" ht="15" customHeight="1" x14ac:dyDescent="0.2">
      <c r="B38" s="268"/>
      <c r="C38" s="283"/>
      <c r="D38" s="284"/>
      <c r="E38" s="284"/>
      <c r="F38" s="284"/>
      <c r="G38" s="284"/>
      <c r="H38" s="285">
        <f t="shared" si="0"/>
        <v>0</v>
      </c>
      <c r="I38" s="284"/>
      <c r="J38" s="284"/>
      <c r="K38" s="284"/>
      <c r="L38" s="284"/>
      <c r="M38" s="284"/>
      <c r="N38" s="285">
        <f t="shared" si="1"/>
        <v>0</v>
      </c>
      <c r="O38" s="286" t="str">
        <f t="shared" si="2"/>
        <v xml:space="preserve"> </v>
      </c>
    </row>
    <row r="39" spans="2:15" ht="15" x14ac:dyDescent="0.25">
      <c r="B39" s="287" t="s">
        <v>192</v>
      </c>
      <c r="C39" s="288">
        <f t="shared" ref="C39:N39" si="3">SUM(C9:C38)</f>
        <v>278</v>
      </c>
      <c r="D39" s="288">
        <f t="shared" si="3"/>
        <v>10218975.227722773</v>
      </c>
      <c r="E39" s="288">
        <f t="shared" si="3"/>
        <v>971104.30999999982</v>
      </c>
      <c r="F39" s="288">
        <f t="shared" si="3"/>
        <v>0</v>
      </c>
      <c r="G39" s="288">
        <f t="shared" si="3"/>
        <v>3071372.7</v>
      </c>
      <c r="H39" s="289">
        <f t="shared" si="3"/>
        <v>14261452.237722771</v>
      </c>
      <c r="I39" s="290">
        <f t="shared" si="3"/>
        <v>277</v>
      </c>
      <c r="J39" s="291">
        <f>SUM(J10:J38)</f>
        <v>9595504.6199999992</v>
      </c>
      <c r="K39" s="291">
        <f>SUM(K9:K38)</f>
        <v>1003034.6900000001</v>
      </c>
      <c r="L39" s="291">
        <f t="shared" si="3"/>
        <v>0</v>
      </c>
      <c r="M39" s="291">
        <f>SUM(M10:M21)</f>
        <v>3085926.7</v>
      </c>
      <c r="N39" s="292">
        <f t="shared" si="3"/>
        <v>13684466.01</v>
      </c>
      <c r="O39" s="293">
        <f t="shared" si="2"/>
        <v>4.2163590987118971E-2</v>
      </c>
    </row>
    <row r="40" spans="2:15" ht="15.75" x14ac:dyDescent="0.25">
      <c r="B40" s="294"/>
      <c r="C40" s="295" t="s">
        <v>351</v>
      </c>
      <c r="D40" s="296"/>
      <c r="E40" s="296"/>
      <c r="F40" s="296"/>
      <c r="G40" s="296"/>
      <c r="H40" s="297">
        <v>305674.06</v>
      </c>
      <c r="I40" s="298" t="s">
        <v>351</v>
      </c>
      <c r="J40" s="296"/>
      <c r="K40" s="299"/>
      <c r="L40" s="300"/>
      <c r="M40" s="300"/>
      <c r="N40" s="297">
        <v>263359.2</v>
      </c>
      <c r="O40" s="301">
        <f>IF(H40=0," ",(H40/N40)-1)</f>
        <v>0.16067355915418946</v>
      </c>
    </row>
    <row r="41" spans="2:15" ht="15.75" x14ac:dyDescent="0.25">
      <c r="B41" s="302"/>
      <c r="C41" s="303"/>
      <c r="D41" s="303"/>
      <c r="E41" s="303"/>
      <c r="F41" s="303"/>
      <c r="G41" s="303"/>
      <c r="H41" s="304"/>
      <c r="I41" s="305"/>
      <c r="J41" s="306"/>
      <c r="K41" s="303"/>
      <c r="L41" s="305"/>
      <c r="M41" s="307"/>
      <c r="N41" s="308"/>
      <c r="O41" s="309"/>
    </row>
    <row r="42" spans="2:15" ht="18.75" thickBot="1" x14ac:dyDescent="0.3">
      <c r="B42" s="310" t="s">
        <v>192</v>
      </c>
      <c r="C42" s="311"/>
      <c r="D42" s="312"/>
      <c r="E42" s="312"/>
      <c r="F42" s="312"/>
      <c r="G42" s="313"/>
      <c r="H42" s="314">
        <f>H39+H40</f>
        <v>14567126.297722772</v>
      </c>
      <c r="I42" s="315"/>
      <c r="J42" s="316"/>
      <c r="K42" s="316"/>
      <c r="L42" s="316"/>
      <c r="M42" s="317"/>
      <c r="N42" s="314">
        <f>N39+N40</f>
        <v>13947825.209999999</v>
      </c>
      <c r="O42" s="318">
        <f>IF(H42=0," ",(H42/N42)-1)</f>
        <v>4.4401265315452854E-2</v>
      </c>
    </row>
  </sheetData>
  <mergeCells count="2">
    <mergeCell ref="D7:H7"/>
    <mergeCell ref="J7:N7"/>
  </mergeCells>
  <pageMargins left="1.0629921259842521" right="0.74803149606299213" top="0.78740157480314965" bottom="0.98425196850393704" header="0" footer="0.39370078740157483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00F09F-41E7-4619-ADF0-34D9E3CD3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1188F-DE75-43AA-A1A7-89390F148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96AA39-A2F6-46B1-A32A-0231E7D9079B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e4b73361-b4d4-4302-9756-11c2890942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BALANCE</vt:lpstr>
      <vt:lpstr>PyG</vt:lpstr>
      <vt:lpstr>EFE</vt:lpstr>
      <vt:lpstr>PAIF</vt:lpstr>
      <vt:lpstr>PERSONAL</vt:lpstr>
      <vt:lpstr>PERSONAL!Área_de_impresión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Ricardo López Fidalgo</cp:lastModifiedBy>
  <cp:lastPrinted>2018-09-05T08:52:18Z</cp:lastPrinted>
  <dcterms:created xsi:type="dcterms:W3CDTF">2018-04-09T12:25:19Z</dcterms:created>
  <dcterms:modified xsi:type="dcterms:W3CDTF">2025-02-12T11:35:12Z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23200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