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CE88" lockStructure="1"/>
  <bookViews>
    <workbookView xWindow="7635" yWindow="285" windowWidth="7680" windowHeight="8385" firstSheet="2" activeTab="3"/>
  </bookViews>
  <sheets>
    <sheet name="ESTIMADO" sheetId="38" state="hidden" r:id="rId1"/>
    <sheet name="PRESUPUESTO" sheetId="36" state="hidden" r:id="rId2"/>
    <sheet name="Instrucciones" sheetId="37" r:id="rId3"/>
    <sheet name="PyG" sheetId="1" r:id="rId4"/>
    <sheet name="PAIF" sheetId="35" r:id="rId5"/>
    <sheet name="BAL" sheetId="20" r:id="rId6"/>
    <sheet name="EFE" sheetId="30" r:id="rId7"/>
    <sheet name="PERSONAL" sheetId="23" r:id="rId8"/>
    <sheet name="PASIVOS" sheetId="28" r:id="rId9"/>
    <sheet name="HIPOTECARIOS" sheetId="29" r:id="rId10"/>
  </sheets>
  <definedNames>
    <definedName name="_xlnm.Print_Area" localSheetId="5">BAL!$D$2:$M$70</definedName>
    <definedName name="_xlnm.Print_Area" localSheetId="6">EFE!$B$3:$F$81</definedName>
    <definedName name="_xlnm.Print_Area" localSheetId="0">ESTIMADO!$B$2:$G$78</definedName>
    <definedName name="_xlnm.Print_Area" localSheetId="9">HIPOTECARIOS!$B$4:$I$51</definedName>
    <definedName name="_xlnm.Print_Area" localSheetId="4">PAIF!$B$3:$I$50</definedName>
    <definedName name="_xlnm.Print_Area" localSheetId="8">PASIVOS!$B$2:$J$59</definedName>
    <definedName name="_xlnm.Print_Area" localSheetId="7">PERSONAL!$A$1:$O$47</definedName>
    <definedName name="_xlnm.Print_Area" localSheetId="1">PRESUPUESTO!$B$2:$G$78</definedName>
    <definedName name="_xlnm.Print_Area" localSheetId="3">PyG!$B$3:$F$86</definedName>
  </definedNames>
  <calcPr calcId="145621"/>
</workbook>
</file>

<file path=xl/calcChain.xml><?xml version="1.0" encoding="utf-8"?>
<calcChain xmlns="http://schemas.openxmlformats.org/spreadsheetml/2006/main">
  <c r="M32" i="20" l="1"/>
  <c r="L32" i="20"/>
  <c r="E30" i="30"/>
  <c r="E40" i="35"/>
  <c r="L67" i="20"/>
  <c r="M55" i="20" l="1"/>
  <c r="M58" i="20"/>
  <c r="L58" i="20"/>
  <c r="L55" i="20"/>
  <c r="E15" i="29"/>
  <c r="E14" i="29"/>
  <c r="E52" i="30" l="1"/>
  <c r="F52" i="30"/>
  <c r="F34" i="30"/>
  <c r="E34" i="30"/>
  <c r="D37" i="29" l="1"/>
  <c r="F27" i="30" l="1"/>
  <c r="E27" i="30"/>
  <c r="H35" i="29" l="1"/>
  <c r="H34" i="29"/>
  <c r="H33" i="29"/>
  <c r="E37" i="29"/>
  <c r="I38" i="29"/>
  <c r="I41" i="29"/>
  <c r="E44" i="29"/>
  <c r="E62" i="30" l="1"/>
  <c r="H42" i="35" l="1"/>
  <c r="E18" i="1" l="1"/>
  <c r="N40" i="23" l="1"/>
  <c r="D40" i="35" l="1"/>
  <c r="E48" i="1"/>
  <c r="E17" i="1"/>
  <c r="M103" i="20" l="1"/>
  <c r="J34" i="28" l="1"/>
  <c r="J15" i="28"/>
  <c r="J18" i="28"/>
  <c r="J16" i="28"/>
  <c r="J14" i="28"/>
  <c r="J13" i="28"/>
  <c r="J12" i="28"/>
  <c r="J11" i="28"/>
  <c r="J29" i="28"/>
  <c r="J28" i="28"/>
  <c r="I37" i="29"/>
  <c r="I36" i="29"/>
  <c r="I35" i="29"/>
  <c r="I34" i="29"/>
  <c r="I33" i="29"/>
  <c r="I32" i="29"/>
  <c r="I16" i="29"/>
  <c r="I15" i="29"/>
  <c r="I14" i="29"/>
  <c r="I13" i="29"/>
  <c r="M77" i="20"/>
  <c r="L77" i="20"/>
  <c r="G21" i="20"/>
  <c r="E23" i="35"/>
  <c r="C21" i="20" s="1"/>
  <c r="G17" i="20"/>
  <c r="E17" i="35"/>
  <c r="G11" i="20"/>
  <c r="E12" i="35"/>
  <c r="C11" i="20" s="1"/>
  <c r="D23" i="35"/>
  <c r="B21" i="20" s="1"/>
  <c r="D17" i="35"/>
  <c r="B17" i="20" s="1"/>
  <c r="D12" i="35"/>
  <c r="B11" i="20"/>
  <c r="L31" i="20"/>
  <c r="I29" i="35"/>
  <c r="M8" i="20"/>
  <c r="L8" i="20"/>
  <c r="K8" i="20"/>
  <c r="J8" i="20"/>
  <c r="D2" i="20"/>
  <c r="D4" i="20"/>
  <c r="D5" i="20"/>
  <c r="D3" i="20"/>
  <c r="D75" i="20"/>
  <c r="D74" i="20"/>
  <c r="M12" i="20"/>
  <c r="O17" i="20" s="1"/>
  <c r="M19" i="20"/>
  <c r="M16" i="20"/>
  <c r="M26" i="20"/>
  <c r="M31" i="20"/>
  <c r="L12" i="20"/>
  <c r="L19" i="20"/>
  <c r="L16" i="20"/>
  <c r="L26" i="20"/>
  <c r="N17" i="20"/>
  <c r="F89" i="20"/>
  <c r="F88" i="20"/>
  <c r="E90" i="20"/>
  <c r="E89" i="20"/>
  <c r="E88" i="20"/>
  <c r="E87" i="20"/>
  <c r="F81" i="20"/>
  <c r="F80" i="20"/>
  <c r="E82" i="20"/>
  <c r="E81" i="20"/>
  <c r="E80" i="20"/>
  <c r="E79" i="20"/>
  <c r="O47" i="20"/>
  <c r="N47" i="20"/>
  <c r="H58" i="20"/>
  <c r="G58" i="20"/>
  <c r="G50" i="20"/>
  <c r="G35" i="20"/>
  <c r="G42" i="20"/>
  <c r="G24" i="20"/>
  <c r="H24" i="20"/>
  <c r="H11" i="20"/>
  <c r="H17" i="20"/>
  <c r="H21" i="20"/>
  <c r="H35" i="20"/>
  <c r="H42" i="20"/>
  <c r="H50" i="20"/>
  <c r="L37" i="20"/>
  <c r="L42" i="20"/>
  <c r="L54" i="20"/>
  <c r="L60" i="20"/>
  <c r="M37" i="20"/>
  <c r="M42" i="20"/>
  <c r="M54" i="20"/>
  <c r="M60" i="20"/>
  <c r="F14" i="1"/>
  <c r="F19" i="1"/>
  <c r="F26" i="1"/>
  <c r="F31" i="1"/>
  <c r="F35" i="1"/>
  <c r="F39" i="1"/>
  <c r="F44" i="1"/>
  <c r="F15" i="30" s="1"/>
  <c r="F50" i="1"/>
  <c r="F53" i="1"/>
  <c r="F58" i="1"/>
  <c r="F61" i="1"/>
  <c r="F65" i="1"/>
  <c r="F69" i="1"/>
  <c r="F73" i="1"/>
  <c r="H29" i="35"/>
  <c r="N31" i="20" s="1"/>
  <c r="E14" i="1"/>
  <c r="E19" i="1"/>
  <c r="E13" i="1"/>
  <c r="E26" i="1"/>
  <c r="E31" i="1"/>
  <c r="E35" i="1"/>
  <c r="E39" i="1"/>
  <c r="E44" i="1"/>
  <c r="E15" i="30"/>
  <c r="H13" i="35"/>
  <c r="E50" i="1"/>
  <c r="E53" i="1"/>
  <c r="E58" i="1"/>
  <c r="E61" i="1"/>
  <c r="E65" i="1"/>
  <c r="E69" i="1"/>
  <c r="E73" i="1"/>
  <c r="J54" i="28"/>
  <c r="M78" i="20" s="1"/>
  <c r="G54" i="28"/>
  <c r="L78" i="20" s="1"/>
  <c r="G17" i="28"/>
  <c r="G21" i="28"/>
  <c r="G32" i="28"/>
  <c r="G37" i="28"/>
  <c r="G38" i="28" s="1"/>
  <c r="E25" i="29"/>
  <c r="H17" i="28"/>
  <c r="H21" i="28"/>
  <c r="H22" i="28"/>
  <c r="H32" i="28"/>
  <c r="H37" i="28"/>
  <c r="H38" i="28" s="1"/>
  <c r="F25" i="29"/>
  <c r="F44" i="29"/>
  <c r="I17" i="28"/>
  <c r="I21" i="28"/>
  <c r="I32" i="28"/>
  <c r="I37" i="28"/>
  <c r="I38" i="28"/>
  <c r="G25" i="29"/>
  <c r="G44" i="29"/>
  <c r="G46" i="29" s="1"/>
  <c r="H25" i="29"/>
  <c r="H44" i="29"/>
  <c r="J17" i="28"/>
  <c r="J21" i="28"/>
  <c r="J32" i="28"/>
  <c r="J37" i="28"/>
  <c r="J38" i="28" s="1"/>
  <c r="I25" i="29"/>
  <c r="H41" i="30"/>
  <c r="H58" i="30"/>
  <c r="G41" i="30"/>
  <c r="G58" i="30"/>
  <c r="F18" i="30"/>
  <c r="I16" i="35" s="1"/>
  <c r="F19" i="30"/>
  <c r="F20" i="30"/>
  <c r="F23" i="30"/>
  <c r="F24" i="30"/>
  <c r="E18" i="30"/>
  <c r="E19" i="30"/>
  <c r="E20" i="30"/>
  <c r="E23" i="30"/>
  <c r="E24" i="30"/>
  <c r="B4" i="30"/>
  <c r="B6" i="30"/>
  <c r="B7" i="30"/>
  <c r="B5" i="30"/>
  <c r="G50" i="30"/>
  <c r="H50" i="30"/>
  <c r="H51" i="30"/>
  <c r="H52" i="30"/>
  <c r="H53" i="30"/>
  <c r="H54" i="30"/>
  <c r="G54" i="30"/>
  <c r="G53" i="30"/>
  <c r="G52" i="30"/>
  <c r="G51" i="30"/>
  <c r="H28" i="30"/>
  <c r="H29" i="30"/>
  <c r="H31" i="30"/>
  <c r="H32" i="30"/>
  <c r="G27" i="30"/>
  <c r="G28" i="30"/>
  <c r="G29" i="30"/>
  <c r="G30" i="30"/>
  <c r="G31" i="30"/>
  <c r="G32" i="30"/>
  <c r="F37" i="30"/>
  <c r="F33" i="30" s="1"/>
  <c r="E37" i="30"/>
  <c r="F81" i="30"/>
  <c r="E81" i="30"/>
  <c r="F80" i="30"/>
  <c r="C23" i="30"/>
  <c r="C20" i="30"/>
  <c r="E80" i="30"/>
  <c r="C81" i="30"/>
  <c r="C68" i="30"/>
  <c r="C64" i="30"/>
  <c r="C63" i="30"/>
  <c r="C59" i="30"/>
  <c r="C72" i="30"/>
  <c r="C75" i="30"/>
  <c r="C26" i="30"/>
  <c r="C33" i="30"/>
  <c r="C42" i="30"/>
  <c r="C49" i="30"/>
  <c r="C56" i="30"/>
  <c r="E26" i="30"/>
  <c r="E33" i="30"/>
  <c r="E64" i="30"/>
  <c r="E68" i="30"/>
  <c r="E59" i="30"/>
  <c r="E72" i="30"/>
  <c r="E42" i="30"/>
  <c r="E49" i="30"/>
  <c r="F26" i="30"/>
  <c r="F42" i="30"/>
  <c r="F49" i="30"/>
  <c r="F59" i="30"/>
  <c r="F64" i="30"/>
  <c r="F68" i="30"/>
  <c r="F72" i="30"/>
  <c r="C22" i="30"/>
  <c r="C15" i="30"/>
  <c r="E22" i="30"/>
  <c r="F22" i="30"/>
  <c r="C21" i="30"/>
  <c r="C14" i="30"/>
  <c r="C13" i="30"/>
  <c r="C39" i="30"/>
  <c r="H44" i="30"/>
  <c r="H45" i="30"/>
  <c r="E26" i="35"/>
  <c r="H46" i="30" s="1"/>
  <c r="D26" i="35"/>
  <c r="G46" i="30" s="1"/>
  <c r="G45" i="30"/>
  <c r="G44" i="30"/>
  <c r="H62" i="30"/>
  <c r="H43" i="30"/>
  <c r="G43" i="30"/>
  <c r="G62" i="30"/>
  <c r="D67" i="38"/>
  <c r="D68" i="38"/>
  <c r="G68" i="38"/>
  <c r="D43" i="38"/>
  <c r="D47" i="38"/>
  <c r="D57" i="38"/>
  <c r="D61" i="38"/>
  <c r="D62" i="38"/>
  <c r="D70" i="38"/>
  <c r="D74" i="38"/>
  <c r="D77" i="38"/>
  <c r="G67" i="38"/>
  <c r="G63" i="38"/>
  <c r="G61" i="38"/>
  <c r="D30" i="38"/>
  <c r="D35" i="38"/>
  <c r="D38" i="38"/>
  <c r="D8" i="38"/>
  <c r="D9" i="38"/>
  <c r="D10" i="38"/>
  <c r="D11" i="38"/>
  <c r="D14" i="38"/>
  <c r="D20" i="38"/>
  <c r="D21" i="38"/>
  <c r="D26" i="38"/>
  <c r="D28" i="38"/>
  <c r="G10" i="38"/>
  <c r="G9" i="38"/>
  <c r="G8" i="38"/>
  <c r="F42" i="38"/>
  <c r="E42" i="38"/>
  <c r="D42" i="38"/>
  <c r="E75" i="38"/>
  <c r="E58" i="38"/>
  <c r="E59" i="38"/>
  <c r="F57" i="38" s="1"/>
  <c r="G57" i="38" s="1"/>
  <c r="E60" i="38"/>
  <c r="E48" i="38"/>
  <c r="E49" i="38"/>
  <c r="E50" i="38"/>
  <c r="E51" i="38"/>
  <c r="E52" i="38"/>
  <c r="E53" i="38"/>
  <c r="E54" i="38"/>
  <c r="E89" i="1"/>
  <c r="E55" i="38" s="1"/>
  <c r="F47" i="38" s="1"/>
  <c r="E56" i="38"/>
  <c r="E44" i="38"/>
  <c r="E45" i="38"/>
  <c r="E46" i="38"/>
  <c r="E22" i="38"/>
  <c r="E23" i="38"/>
  <c r="E24" i="38"/>
  <c r="F21" i="38" s="1"/>
  <c r="G21" i="38" s="1"/>
  <c r="E25" i="38"/>
  <c r="E16" i="38"/>
  <c r="E17" i="38"/>
  <c r="E18" i="38"/>
  <c r="E12" i="38"/>
  <c r="E13" i="38"/>
  <c r="F11" i="38" s="1"/>
  <c r="G11" i="38" s="1"/>
  <c r="B4" i="38"/>
  <c r="B5" i="38"/>
  <c r="B3" i="38"/>
  <c r="E32" i="38"/>
  <c r="E31" i="38"/>
  <c r="D39" i="35"/>
  <c r="E76" i="38" s="1"/>
  <c r="F74" i="38" s="1"/>
  <c r="G74" i="38" s="1"/>
  <c r="E66" i="38"/>
  <c r="H34" i="35"/>
  <c r="E37" i="38" s="1"/>
  <c r="F35" i="38" s="1"/>
  <c r="G35" i="38" s="1"/>
  <c r="H25" i="35"/>
  <c r="E36" i="38"/>
  <c r="E65" i="38"/>
  <c r="F63" i="38" s="1"/>
  <c r="F68" i="38" s="1"/>
  <c r="E71" i="38"/>
  <c r="E64" i="38"/>
  <c r="E27" i="38"/>
  <c r="F26" i="38" s="1"/>
  <c r="H14" i="35"/>
  <c r="H15" i="35"/>
  <c r="H16" i="35"/>
  <c r="H17" i="35"/>
  <c r="H18" i="35"/>
  <c r="H19" i="35"/>
  <c r="H20" i="35"/>
  <c r="H21" i="35"/>
  <c r="H22" i="35"/>
  <c r="H23" i="35"/>
  <c r="H39" i="35"/>
  <c r="D11" i="35"/>
  <c r="D44" i="35"/>
  <c r="B4" i="29"/>
  <c r="B6" i="29"/>
  <c r="B7" i="29"/>
  <c r="B5" i="29"/>
  <c r="P25" i="29"/>
  <c r="G30" i="29"/>
  <c r="D44" i="29"/>
  <c r="D25" i="29"/>
  <c r="I30" i="29"/>
  <c r="I29" i="29"/>
  <c r="F30" i="29"/>
  <c r="D29" i="29"/>
  <c r="E30" i="29"/>
  <c r="C29" i="29"/>
  <c r="B29" i="29"/>
  <c r="I9" i="35"/>
  <c r="H9" i="35"/>
  <c r="G9" i="35"/>
  <c r="I17" i="35"/>
  <c r="I18" i="35"/>
  <c r="I19" i="35"/>
  <c r="I20" i="35"/>
  <c r="F89" i="1"/>
  <c r="I22" i="35" s="1"/>
  <c r="I14" i="35"/>
  <c r="I15" i="35"/>
  <c r="I21" i="35"/>
  <c r="I23" i="35"/>
  <c r="I25" i="35"/>
  <c r="I34" i="35"/>
  <c r="I39" i="35"/>
  <c r="E11" i="35"/>
  <c r="E39" i="35"/>
  <c r="E44" i="35"/>
  <c r="B3" i="35"/>
  <c r="B5" i="35"/>
  <c r="B6" i="35"/>
  <c r="B4" i="35"/>
  <c r="H54" i="28"/>
  <c r="I54" i="28"/>
  <c r="P54" i="28"/>
  <c r="F54" i="28"/>
  <c r="J42" i="28"/>
  <c r="B2" i="28"/>
  <c r="B4" i="28"/>
  <c r="B5" i="28"/>
  <c r="B3" i="28"/>
  <c r="J26" i="28"/>
  <c r="F32" i="28"/>
  <c r="F37" i="28"/>
  <c r="F38" i="28"/>
  <c r="F17" i="28"/>
  <c r="F21" i="28"/>
  <c r="N9" i="23"/>
  <c r="N10" i="23"/>
  <c r="O10" i="23" s="1"/>
  <c r="N11" i="23"/>
  <c r="O11" i="23" s="1"/>
  <c r="N12" i="23"/>
  <c r="O12" i="23" s="1"/>
  <c r="N13" i="23"/>
  <c r="O13" i="23" s="1"/>
  <c r="N14" i="23"/>
  <c r="O14" i="23" s="1"/>
  <c r="N15" i="23"/>
  <c r="O15" i="23" s="1"/>
  <c r="N16" i="23"/>
  <c r="O16" i="23" s="1"/>
  <c r="N17" i="23"/>
  <c r="O17" i="23" s="1"/>
  <c r="N18" i="23"/>
  <c r="O18" i="23" s="1"/>
  <c r="N19" i="23"/>
  <c r="O19" i="23" s="1"/>
  <c r="N20" i="23"/>
  <c r="O20" i="23" s="1"/>
  <c r="N21" i="23"/>
  <c r="O21" i="23" s="1"/>
  <c r="N22" i="23"/>
  <c r="O22" i="23" s="1"/>
  <c r="N23" i="23"/>
  <c r="O23" i="23" s="1"/>
  <c r="N24" i="23"/>
  <c r="O24" i="23" s="1"/>
  <c r="N25" i="23"/>
  <c r="N26" i="23"/>
  <c r="N27" i="23"/>
  <c r="N28" i="23"/>
  <c r="N29" i="23"/>
  <c r="N30" i="23"/>
  <c r="N31" i="23"/>
  <c r="N32" i="23"/>
  <c r="N33" i="23"/>
  <c r="N34" i="23"/>
  <c r="N35" i="23"/>
  <c r="N36" i="23"/>
  <c r="N37" i="23"/>
  <c r="N38" i="23"/>
  <c r="H9" i="23"/>
  <c r="H10" i="23"/>
  <c r="H11" i="23"/>
  <c r="H12" i="23"/>
  <c r="H13" i="23"/>
  <c r="H14" i="23"/>
  <c r="H15" i="23"/>
  <c r="H16" i="23"/>
  <c r="H17" i="23"/>
  <c r="H18" i="23"/>
  <c r="H19" i="23"/>
  <c r="H20" i="23"/>
  <c r="H21" i="23"/>
  <c r="H22" i="23"/>
  <c r="H23" i="23"/>
  <c r="H24" i="23"/>
  <c r="H25" i="23"/>
  <c r="H26" i="23"/>
  <c r="H27" i="23"/>
  <c r="H28" i="23"/>
  <c r="H29" i="23"/>
  <c r="H30" i="23"/>
  <c r="H31" i="23"/>
  <c r="H32" i="23"/>
  <c r="H33" i="23"/>
  <c r="H34" i="23"/>
  <c r="H35" i="23"/>
  <c r="H36" i="23"/>
  <c r="H37" i="23"/>
  <c r="O37" i="23"/>
  <c r="H38" i="23"/>
  <c r="B2" i="23"/>
  <c r="B4" i="23"/>
  <c r="B5" i="23"/>
  <c r="B3" i="23"/>
  <c r="O32" i="23"/>
  <c r="O31" i="23"/>
  <c r="O30" i="23"/>
  <c r="O29" i="23"/>
  <c r="O28" i="23"/>
  <c r="O27" i="23"/>
  <c r="O26" i="23"/>
  <c r="O25" i="23"/>
  <c r="O40" i="23"/>
  <c r="O38" i="23"/>
  <c r="O36" i="23"/>
  <c r="O35" i="23"/>
  <c r="O34" i="23"/>
  <c r="O33" i="23"/>
  <c r="O9" i="23"/>
  <c r="M39" i="23"/>
  <c r="L39" i="23"/>
  <c r="K39" i="23"/>
  <c r="J39" i="23"/>
  <c r="I39" i="23"/>
  <c r="G39" i="23"/>
  <c r="F39" i="23"/>
  <c r="E39" i="23"/>
  <c r="D39" i="23"/>
  <c r="C39" i="23"/>
  <c r="D77" i="36"/>
  <c r="D62" i="36"/>
  <c r="D68" i="36"/>
  <c r="D69" i="36"/>
  <c r="G67" i="36"/>
  <c r="G61" i="36"/>
  <c r="D38" i="36"/>
  <c r="D20" i="36"/>
  <c r="D28" i="36"/>
  <c r="D29" i="36"/>
  <c r="D39" i="36"/>
  <c r="G10" i="36"/>
  <c r="G9" i="36"/>
  <c r="G8" i="36"/>
  <c r="E64" i="36"/>
  <c r="F42" i="36"/>
  <c r="E42" i="36"/>
  <c r="D42" i="36"/>
  <c r="E27" i="36"/>
  <c r="F26" i="36" s="1"/>
  <c r="G26" i="36" s="1"/>
  <c r="E75" i="36"/>
  <c r="E76" i="36"/>
  <c r="F74" i="36" s="1"/>
  <c r="G74" i="36" s="1"/>
  <c r="E71" i="36"/>
  <c r="E65" i="36"/>
  <c r="E66" i="36"/>
  <c r="F63" i="36" s="1"/>
  <c r="G63" i="36" s="1"/>
  <c r="E58" i="36"/>
  <c r="E59" i="36"/>
  <c r="F57" i="36" s="1"/>
  <c r="G57" i="36" s="1"/>
  <c r="E60" i="36"/>
  <c r="E48" i="36"/>
  <c r="E49" i="36"/>
  <c r="E51" i="36"/>
  <c r="E52" i="36"/>
  <c r="E53" i="36"/>
  <c r="E54" i="36"/>
  <c r="E55" i="36"/>
  <c r="E56" i="36"/>
  <c r="E50" i="36"/>
  <c r="E44" i="36"/>
  <c r="E45" i="36"/>
  <c r="E46" i="36"/>
  <c r="E36" i="36"/>
  <c r="E37" i="36"/>
  <c r="F35" i="36" s="1"/>
  <c r="G35" i="36" s="1"/>
  <c r="E31" i="36"/>
  <c r="E32" i="36"/>
  <c r="E22" i="36"/>
  <c r="E23" i="36"/>
  <c r="E24" i="36"/>
  <c r="E25" i="36"/>
  <c r="E16" i="36"/>
  <c r="E17" i="36"/>
  <c r="E18" i="36"/>
  <c r="E19" i="36"/>
  <c r="E12" i="36"/>
  <c r="E13" i="36"/>
  <c r="B4" i="36"/>
  <c r="B5" i="36"/>
  <c r="B3" i="36"/>
  <c r="D96" i="1"/>
  <c r="E96" i="1"/>
  <c r="F96" i="1"/>
  <c r="D97" i="1"/>
  <c r="E97" i="1"/>
  <c r="F97" i="1"/>
  <c r="C96" i="1"/>
  <c r="C97" i="1"/>
  <c r="D103" i="1"/>
  <c r="D104" i="1"/>
  <c r="D105" i="1"/>
  <c r="D106" i="1"/>
  <c r="D107" i="1"/>
  <c r="D108" i="1"/>
  <c r="D109" i="1"/>
  <c r="D110" i="1"/>
  <c r="D111" i="1"/>
  <c r="D99" i="1"/>
  <c r="D98" i="1"/>
  <c r="D114" i="1"/>
  <c r="D115" i="1"/>
  <c r="D116" i="1"/>
  <c r="D117" i="1"/>
  <c r="D118" i="1"/>
  <c r="D119" i="1"/>
  <c r="D120" i="1"/>
  <c r="D121" i="1"/>
  <c r="D122" i="1"/>
  <c r="D100" i="1"/>
  <c r="E103" i="1"/>
  <c r="E104" i="1"/>
  <c r="E105" i="1"/>
  <c r="E111" i="1" s="1"/>
  <c r="E106" i="1"/>
  <c r="E107" i="1"/>
  <c r="E108" i="1"/>
  <c r="E109" i="1"/>
  <c r="E110" i="1"/>
  <c r="E114" i="1"/>
  <c r="E115" i="1"/>
  <c r="E116" i="1"/>
  <c r="E117" i="1"/>
  <c r="E118" i="1"/>
  <c r="E119" i="1"/>
  <c r="E120" i="1"/>
  <c r="E121" i="1"/>
  <c r="F103" i="1"/>
  <c r="F104" i="1"/>
  <c r="F105" i="1"/>
  <c r="F106" i="1"/>
  <c r="F107" i="1"/>
  <c r="F108" i="1"/>
  <c r="F109" i="1"/>
  <c r="F110" i="1"/>
  <c r="F111" i="1"/>
  <c r="F114" i="1"/>
  <c r="F115" i="1"/>
  <c r="F116" i="1"/>
  <c r="F117" i="1"/>
  <c r="F118" i="1"/>
  <c r="F119" i="1"/>
  <c r="F120" i="1"/>
  <c r="F121" i="1"/>
  <c r="C103" i="1"/>
  <c r="C104" i="1"/>
  <c r="C111" i="1"/>
  <c r="C99" i="1"/>
  <c r="C105" i="1"/>
  <c r="C106" i="1"/>
  <c r="C107" i="1"/>
  <c r="C108" i="1"/>
  <c r="C109" i="1"/>
  <c r="C110" i="1"/>
  <c r="C114" i="1"/>
  <c r="C115" i="1"/>
  <c r="C122" i="1"/>
  <c r="C100" i="1"/>
  <c r="C116" i="1"/>
  <c r="C117" i="1"/>
  <c r="C118" i="1"/>
  <c r="C119" i="1"/>
  <c r="C120" i="1"/>
  <c r="C121" i="1"/>
  <c r="C98" i="1"/>
  <c r="D29" i="38"/>
  <c r="D78" i="36"/>
  <c r="D69" i="38"/>
  <c r="C79" i="30"/>
  <c r="D81" i="36"/>
  <c r="D78" i="38"/>
  <c r="D39" i="38"/>
  <c r="D81" i="38"/>
  <c r="G22" i="28"/>
  <c r="F22" i="28"/>
  <c r="E15" i="38"/>
  <c r="E56" i="1"/>
  <c r="G26" i="30"/>
  <c r="G33" i="20"/>
  <c r="G10" i="20"/>
  <c r="H39" i="23"/>
  <c r="H42" i="23"/>
  <c r="B49" i="23"/>
  <c r="J22" i="28"/>
  <c r="P44" i="29"/>
  <c r="O31" i="20" l="1"/>
  <c r="M36" i="20"/>
  <c r="L36" i="20"/>
  <c r="D46" i="29"/>
  <c r="E19" i="38"/>
  <c r="F14" i="38" s="1"/>
  <c r="E57" i="1"/>
  <c r="G70" i="20"/>
  <c r="H46" i="29"/>
  <c r="I22" i="28"/>
  <c r="P38" i="28"/>
  <c r="F46" i="29"/>
  <c r="I44" i="29"/>
  <c r="I46" i="29" s="1"/>
  <c r="I50" i="29" s="1"/>
  <c r="E63" i="30"/>
  <c r="E75" i="30" s="1"/>
  <c r="C17" i="20"/>
  <c r="F21" i="36"/>
  <c r="F43" i="38"/>
  <c r="G43" i="38" s="1"/>
  <c r="N39" i="23"/>
  <c r="N42" i="23" s="1"/>
  <c r="B50" i="23" s="1"/>
  <c r="F11" i="36"/>
  <c r="G11" i="36" s="1"/>
  <c r="F13" i="1"/>
  <c r="E15" i="36" s="1"/>
  <c r="F14" i="36" s="1"/>
  <c r="P22" i="28"/>
  <c r="G2" i="29"/>
  <c r="H2" i="29"/>
  <c r="E46" i="29"/>
  <c r="E50" i="29" s="1"/>
  <c r="F56" i="30"/>
  <c r="F63" i="30"/>
  <c r="F75" i="30" s="1"/>
  <c r="F2" i="29"/>
  <c r="G88" i="20" s="1"/>
  <c r="L51" i="20"/>
  <c r="G21" i="36"/>
  <c r="F28" i="36"/>
  <c r="G28" i="36" s="1"/>
  <c r="E48" i="35"/>
  <c r="F68" i="36"/>
  <c r="G68" i="36" s="1"/>
  <c r="F28" i="38"/>
  <c r="G28" i="38" s="1"/>
  <c r="G26" i="38"/>
  <c r="D48" i="35"/>
  <c r="E56" i="30"/>
  <c r="M51" i="20"/>
  <c r="H33" i="20"/>
  <c r="H27" i="30"/>
  <c r="H10" i="20"/>
  <c r="H30" i="30"/>
  <c r="H26" i="30" s="1"/>
  <c r="E76" i="1"/>
  <c r="E21" i="30"/>
  <c r="E14" i="30" s="1"/>
  <c r="E77" i="1"/>
  <c r="E79" i="1" s="1"/>
  <c r="E84" i="1" s="1"/>
  <c r="F57" i="1"/>
  <c r="F21" i="30" s="1"/>
  <c r="F14" i="30" s="1"/>
  <c r="F122" i="1"/>
  <c r="F100" i="1" s="1"/>
  <c r="F62" i="38"/>
  <c r="F69" i="38" s="1"/>
  <c r="G69" i="38" s="1"/>
  <c r="I13" i="35"/>
  <c r="F43" i="36"/>
  <c r="G43" i="36" s="1"/>
  <c r="F47" i="36"/>
  <c r="E2" i="29"/>
  <c r="G87" i="20" s="1"/>
  <c r="E122" i="1"/>
  <c r="E100" i="1" s="1"/>
  <c r="G47" i="38"/>
  <c r="E99" i="1"/>
  <c r="F20" i="38" l="1"/>
  <c r="G14" i="38"/>
  <c r="F76" i="1"/>
  <c r="I2" i="29"/>
  <c r="G90" i="20" s="1"/>
  <c r="P46" i="29"/>
  <c r="O39" i="23"/>
  <c r="O42" i="23"/>
  <c r="H70" i="20"/>
  <c r="F56" i="1"/>
  <c r="F77" i="1" s="1"/>
  <c r="F79" i="1" s="1"/>
  <c r="F84" i="1" s="1"/>
  <c r="M23" i="20" s="1"/>
  <c r="M11" i="20" s="1"/>
  <c r="M10" i="20" s="1"/>
  <c r="O10" i="20" s="1"/>
  <c r="G14" i="36"/>
  <c r="F20" i="36"/>
  <c r="G20" i="36" s="1"/>
  <c r="F99" i="1"/>
  <c r="F98" i="1" s="1"/>
  <c r="G89" i="20"/>
  <c r="G62" i="38"/>
  <c r="F62" i="36"/>
  <c r="F69" i="36" s="1"/>
  <c r="G69" i="36" s="1"/>
  <c r="E13" i="30"/>
  <c r="E39" i="30" s="1"/>
  <c r="E79" i="30" s="1"/>
  <c r="F13" i="30"/>
  <c r="F39" i="30" s="1"/>
  <c r="F79" i="30" s="1"/>
  <c r="G47" i="36"/>
  <c r="E98" i="1"/>
  <c r="G20" i="38"/>
  <c r="F29" i="38"/>
  <c r="L23" i="20"/>
  <c r="L11" i="20" s="1"/>
  <c r="L10" i="20" s="1"/>
  <c r="H12" i="35"/>
  <c r="H11" i="35" s="1"/>
  <c r="H48" i="35" s="1"/>
  <c r="F29" i="36" l="1"/>
  <c r="G29" i="36" s="1"/>
  <c r="G62" i="36"/>
  <c r="I12" i="35"/>
  <c r="I11" i="35" s="1"/>
  <c r="I48" i="35" s="1"/>
  <c r="I50" i="35" s="1"/>
  <c r="E33" i="36" s="1"/>
  <c r="F30" i="36" s="1"/>
  <c r="G30" i="36" s="1"/>
  <c r="M70" i="20"/>
  <c r="H50" i="35"/>
  <c r="E33" i="38" s="1"/>
  <c r="F30" i="38" s="1"/>
  <c r="D50" i="35"/>
  <c r="E72" i="38" s="1"/>
  <c r="F70" i="38" s="1"/>
  <c r="G29" i="38"/>
  <c r="L70" i="20"/>
  <c r="N10" i="20"/>
  <c r="F38" i="36" l="1"/>
  <c r="E50" i="35"/>
  <c r="E72" i="36" s="1"/>
  <c r="F70" i="36" s="1"/>
  <c r="G70" i="36" s="1"/>
  <c r="F77" i="38"/>
  <c r="G70" i="38"/>
  <c r="D73" i="20"/>
  <c r="G30" i="38"/>
  <c r="F38" i="38"/>
  <c r="F77" i="36" l="1"/>
  <c r="F78" i="36" s="1"/>
  <c r="F39" i="36"/>
  <c r="G39" i="36" s="1"/>
  <c r="G38" i="36"/>
  <c r="G38" i="38"/>
  <c r="F39" i="38"/>
  <c r="G77" i="38"/>
  <c r="F78" i="38"/>
  <c r="G78" i="38" s="1"/>
  <c r="G77" i="36" l="1"/>
  <c r="G78" i="36"/>
  <c r="F81" i="36"/>
  <c r="F81" i="38"/>
  <c r="G39" i="38"/>
</calcChain>
</file>

<file path=xl/comments1.xml><?xml version="1.0" encoding="utf-8"?>
<comments xmlns="http://schemas.openxmlformats.org/spreadsheetml/2006/main">
  <authors>
    <author>josé vázquez romero</author>
    <author>ayto</author>
  </authors>
  <commentList>
    <comment ref="B7" authorId="0">
      <text>
        <r>
          <rPr>
            <b/>
            <sz val="8"/>
            <color indexed="81"/>
            <rFont val="Tahoma"/>
            <family val="2"/>
          </rPr>
          <t>OJO Posibles periodficaciones de subvenciones y otras</t>
        </r>
      </text>
    </comment>
    <comment ref="C57" authorId="1">
      <text>
        <r>
          <rPr>
            <b/>
            <sz val="8"/>
            <color indexed="81"/>
            <rFont val="Tahoma"/>
            <family val="2"/>
          </rPr>
          <t>AGREGAR LOS INTERESES ACTIVADOS DIRECTAMENTE EN EL INMOVILIZADO DE LA EMVS Y RESTARLOS DE CAP VI</t>
        </r>
      </text>
    </comment>
    <comment ref="C63" authorId="0">
      <text>
        <r>
          <rPr>
            <b/>
            <sz val="8"/>
            <color indexed="81"/>
            <rFont val="Tahoma"/>
            <family val="2"/>
          </rPr>
          <t>NO SE INCLUYEN ADSCRIPCIONES NI APORTACIONES NO DINERARIAS</t>
        </r>
      </text>
    </comment>
    <comment ref="F63" authorId="1">
      <text>
        <r>
          <rPr>
            <sz val="8"/>
            <color indexed="81"/>
            <rFont val="Tahoma"/>
            <family val="2"/>
          </rPr>
          <t xml:space="preserve">ESTAN RESTADOS LOS TRABAJOS PARA EL INMOVILIZADO Y LA INCORPORACIÓN AL ACTIVO DE GASTOS FINANCIEROS. OJO NO AJUSTAR EN AUTOFINANCIACIÓN PAIF
</t>
        </r>
      </text>
    </comment>
  </commentList>
</comments>
</file>

<file path=xl/comments2.xml><?xml version="1.0" encoding="utf-8"?>
<comments xmlns="http://schemas.openxmlformats.org/spreadsheetml/2006/main">
  <authors>
    <author>josé vázquez romero</author>
    <author>ayto</author>
  </authors>
  <commentList>
    <comment ref="B7" authorId="0">
      <text>
        <r>
          <rPr>
            <b/>
            <sz val="8"/>
            <color indexed="81"/>
            <rFont val="Tahoma"/>
            <family val="2"/>
          </rPr>
          <t>OJO Posibles periodficaciones de subvenciones y otras</t>
        </r>
      </text>
    </comment>
    <comment ref="C57" authorId="1">
      <text>
        <r>
          <rPr>
            <b/>
            <sz val="8"/>
            <color indexed="81"/>
            <rFont val="Tahoma"/>
            <family val="2"/>
          </rPr>
          <t>AGREGAR LOS INTERESES ACTIVADOS DIRECTAMENTE EN EL INMOVILIZADO DE LA EMVS Y RESTARLOS DE CAP VI</t>
        </r>
      </text>
    </comment>
    <comment ref="C63" authorId="0">
      <text>
        <r>
          <rPr>
            <b/>
            <sz val="8"/>
            <color indexed="81"/>
            <rFont val="Tahoma"/>
            <family val="2"/>
          </rPr>
          <t>NO SE INCLUYEN ADSCRIPCIONES NI APORTACIONES NO DINERARIAS</t>
        </r>
      </text>
    </comment>
    <comment ref="F63" authorId="1">
      <text>
        <r>
          <rPr>
            <sz val="8"/>
            <color indexed="81"/>
            <rFont val="Tahoma"/>
            <family val="2"/>
          </rPr>
          <t xml:space="preserve">ESTAN RESTADOS LOS TRABAJOS PARA EL INMOVILIZADO Y LA INCORPORACIÓN AL ACTIVO DE GASTOS FINANCIEROS. OJO NO AJUSTAR EN AUTOFINANCIACIÓN PAIF
</t>
        </r>
      </text>
    </comment>
  </commentList>
</comments>
</file>

<file path=xl/comments3.xml><?xml version="1.0" encoding="utf-8"?>
<comments xmlns="http://schemas.openxmlformats.org/spreadsheetml/2006/main">
  <authors>
    <author>IAM</author>
    <author>josé vázquez romero</author>
  </authors>
  <commentList>
    <comment ref="N23" authorId="0">
      <text>
        <r>
          <rPr>
            <sz val="8"/>
            <color indexed="81"/>
            <rFont val="Tahoma"/>
            <family val="2"/>
          </rPr>
          <t xml:space="preserve">VERIFICAR DISTRIBUCION RESULTADO DE REAL A ESTIMADO
</t>
        </r>
      </text>
    </comment>
    <comment ref="O23" authorId="0">
      <text>
        <r>
          <rPr>
            <sz val="8"/>
            <color indexed="81"/>
            <rFont val="Tahoma"/>
            <family val="2"/>
          </rPr>
          <t xml:space="preserve">VERIFICAR DISTRIBUCION RESULTADO DE ESTIMADO A PTO
</t>
        </r>
      </text>
    </comment>
    <comment ref="D77" authorId="1">
      <text>
        <r>
          <rPr>
            <b/>
            <sz val="8"/>
            <color indexed="81"/>
            <rFont val="Tahoma"/>
            <family val="2"/>
          </rPr>
          <t>OJO Si hay Póliza a corto plazo NO deben coincidir EFE y PAIF</t>
        </r>
      </text>
    </comment>
    <comment ref="D85" authorId="1">
      <text>
        <r>
          <rPr>
            <b/>
            <sz val="8"/>
            <color indexed="81"/>
            <rFont val="Tahoma"/>
            <family val="2"/>
          </rPr>
          <t>OJO Si hay Póliza a corto plazo NO deben coincidir EFE y PAIF</t>
        </r>
      </text>
    </comment>
  </commentList>
</comments>
</file>

<file path=xl/sharedStrings.xml><?xml version="1.0" encoding="utf-8"?>
<sst xmlns="http://schemas.openxmlformats.org/spreadsheetml/2006/main" count="713" uniqueCount="517">
  <si>
    <t>INGRESOS</t>
  </si>
  <si>
    <t>GASTOS</t>
  </si>
  <si>
    <t>ACTIVO</t>
  </si>
  <si>
    <t>BALANCE DE SITUACIÓN</t>
  </si>
  <si>
    <t>PRESUPUESTO</t>
  </si>
  <si>
    <t>ESTIMADO</t>
  </si>
  <si>
    <t>Total</t>
  </si>
  <si>
    <t>PERSONAL AL SERVICIO DE LA EMPRESA</t>
  </si>
  <si>
    <t>(Clasificado por categorías profesionales)</t>
  </si>
  <si>
    <t>ANTIGÜEDAD</t>
  </si>
  <si>
    <t>HORAS EXT.</t>
  </si>
  <si>
    <t>SEG. SOCIAL</t>
  </si>
  <si>
    <t>TOTAL COSTE(1)</t>
  </si>
  <si>
    <t>TOTAL COSTE(2)</t>
  </si>
  <si>
    <t>%</t>
  </si>
  <si>
    <t>TOTAL</t>
  </si>
  <si>
    <t>Coste de complementos de pensiones y otras cargas sociales:</t>
  </si>
  <si>
    <t>IMPUESTOS DIRECTOS</t>
  </si>
  <si>
    <t>IMPUESTOS INDIRECTOS</t>
  </si>
  <si>
    <t>TASAS Y OTROS INGRESOS</t>
  </si>
  <si>
    <t>TRANSFERENCIAS CORRIENTES</t>
  </si>
  <si>
    <t>INGRESOS PATRIMONIALES</t>
  </si>
  <si>
    <t>OPERACIONES CORRIENTES</t>
  </si>
  <si>
    <t>ENAJENACIÓN DE INVERSIONES REALES</t>
  </si>
  <si>
    <t>TRANSFERENCIAS DE CAPITAL</t>
  </si>
  <si>
    <t>OPERACIONES DE CAPITAL</t>
  </si>
  <si>
    <t>OPERACIONES NO FINANCIERAS</t>
  </si>
  <si>
    <t>ACTIVOS FINANCIEROS</t>
  </si>
  <si>
    <t>PASIVOS FINANCIEROS</t>
  </si>
  <si>
    <t>OPERACIONES FINANCIERAS</t>
  </si>
  <si>
    <t>GASTOS DE PERSONAL</t>
  </si>
  <si>
    <t>GASTOS EN BIENES CORRIENTES Y SERVICIOS</t>
  </si>
  <si>
    <t>GASTOS FINANCIEROS</t>
  </si>
  <si>
    <t>INVERSIONES REALES</t>
  </si>
  <si>
    <t>(1)/(2)</t>
  </si>
  <si>
    <t>REAL</t>
  </si>
  <si>
    <t>PÓLIZAS DE CRÉDITO</t>
  </si>
  <si>
    <t>(A)</t>
  </si>
  <si>
    <t>(B)</t>
  </si>
  <si>
    <t>(C)</t>
  </si>
  <si>
    <t>(D)=(A)+(B)-(C)</t>
  </si>
  <si>
    <t>ENTIDAD
(AGENTE)</t>
  </si>
  <si>
    <t>Nº DE POLIZA</t>
  </si>
  <si>
    <t>FECHA FORMALIZACION</t>
  </si>
  <si>
    <t>FECHA VENCIMIENTO</t>
  </si>
  <si>
    <t>LIMITE</t>
  </si>
  <si>
    <t>TOTAL LARGO PLAZO</t>
  </si>
  <si>
    <t>TOTAL CORTO PLAZO</t>
  </si>
  <si>
    <t>TOTALES</t>
  </si>
  <si>
    <t>PRÉSTAMOS Y OTROS PASIVOS</t>
  </si>
  <si>
    <t>Nº DE PRESTAMO</t>
  </si>
  <si>
    <t>DEUDA HIPOTECARIA NO SUBROGABLE</t>
  </si>
  <si>
    <t>(D)</t>
  </si>
  <si>
    <t>(E)=(A)+(B)-(C)-(D)</t>
  </si>
  <si>
    <t>ENTIDAD O AGENTE / PRÉSTAMOS</t>
  </si>
  <si>
    <t>PROMOCION O INMUEBLE / RÉGIMEN</t>
  </si>
  <si>
    <t>CAPITAL FORMALIZADO</t>
  </si>
  <si>
    <t>TOTAL DEUDA HIPOTECARIA NO SUBROGABLE</t>
  </si>
  <si>
    <t>DEUDA HIPOTECARIA SUBROGABLE</t>
  </si>
  <si>
    <t>TOTAL DEUDA HIPOTECARIA SUBROGABLE</t>
  </si>
  <si>
    <t>TOTAL DEUDA HIPOTECARIA</t>
  </si>
  <si>
    <t>VARIACIÓN DE PASIVOS FINANCIEROS (CORTO Y LARGO PLAZO)</t>
  </si>
  <si>
    <t>EXCLUIDA DEUDA HIPOTECARIA</t>
  </si>
  <si>
    <t>VARIACIÓN DE PASIVOS FINANCIEROS</t>
  </si>
  <si>
    <t>DEUDA HIPOTECARIA</t>
  </si>
  <si>
    <t>PATRIMONIO NETO Y PASIVO</t>
  </si>
  <si>
    <t>A) ACTIVO NO CORRIENTE</t>
  </si>
  <si>
    <t xml:space="preserve">     I. Inmovilizado intangible</t>
  </si>
  <si>
    <t xml:space="preserve">              2. Concesiones</t>
  </si>
  <si>
    <t xml:space="preserve">              3. Patentes, licencias, marcas y similares</t>
  </si>
  <si>
    <t xml:space="preserve">              4. Aplicaciones informáticas</t>
  </si>
  <si>
    <t xml:space="preserve">              5. Otro inmovilizado intangible</t>
  </si>
  <si>
    <t xml:space="preserve">     II. Inmovilizado material</t>
  </si>
  <si>
    <t xml:space="preserve">              1. Terrenos y construcciones</t>
  </si>
  <si>
    <t xml:space="preserve">              2. Instalaciones técnicas y otro inmovilizado material</t>
  </si>
  <si>
    <t xml:space="preserve">              3. Inmovilizado en curso y anticipos</t>
  </si>
  <si>
    <t xml:space="preserve">     III. Inversiones inmobiliarias</t>
  </si>
  <si>
    <t xml:space="preserve">              1. Terrenos</t>
  </si>
  <si>
    <t xml:space="preserve">              2. Construcciones</t>
  </si>
  <si>
    <t xml:space="preserve">     IV. Inversiones financieras a largo plazo</t>
  </si>
  <si>
    <t xml:space="preserve">      V. Activos por impuesto diferido</t>
  </si>
  <si>
    <t>B) ACTIVO CORRIENTE</t>
  </si>
  <si>
    <t xml:space="preserve">       I. Activos no corrientes mantenidos para la venta</t>
  </si>
  <si>
    <t xml:space="preserve">      II. Existencias</t>
  </si>
  <si>
    <t xml:space="preserve">     III. Deudores comerciales y otras cuentas a cobrar</t>
  </si>
  <si>
    <t xml:space="preserve">              1. Clientes por ventas y prestaciones de servicios</t>
  </si>
  <si>
    <t xml:space="preserve">              3. Deudores varios</t>
  </si>
  <si>
    <t xml:space="preserve">              4. Personal</t>
  </si>
  <si>
    <t xml:space="preserve">              5. Activos por impuesto corriente</t>
  </si>
  <si>
    <t xml:space="preserve">              6. Otros créditos con las Administraciones Públicas</t>
  </si>
  <si>
    <t xml:space="preserve">              7. Accionistas (socios) por desembolsos exigidos</t>
  </si>
  <si>
    <t xml:space="preserve">     IV. Inversiones financieras a corto plazo</t>
  </si>
  <si>
    <t xml:space="preserve">     VI. Efectivo y otros activos líquidos equivalentes</t>
  </si>
  <si>
    <t xml:space="preserve">              1. Tesorería</t>
  </si>
  <si>
    <t xml:space="preserve">             2. Otros activos líquidos equivalentes</t>
  </si>
  <si>
    <t>TOTAL ACTIVO (A+B)</t>
  </si>
  <si>
    <t>A) PATRIMONIO NETO</t>
  </si>
  <si>
    <t>A-1) Fondos Propios</t>
  </si>
  <si>
    <t xml:space="preserve">       I. Capital</t>
  </si>
  <si>
    <t xml:space="preserve">              1. Capital escriturado</t>
  </si>
  <si>
    <t xml:space="preserve">              2. (Capital no exigido)</t>
  </si>
  <si>
    <t xml:space="preserve">      II. Prima de emisión</t>
  </si>
  <si>
    <t xml:space="preserve">     III. Reservas</t>
  </si>
  <si>
    <t xml:space="preserve">             1. Reserva legal</t>
  </si>
  <si>
    <t xml:space="preserve">             2. Otras reservas</t>
  </si>
  <si>
    <t xml:space="preserve">     IV. Resultados de ejercicios anteriores</t>
  </si>
  <si>
    <t xml:space="preserve">            1. Remanente</t>
  </si>
  <si>
    <t xml:space="preserve">            2. (Resultados negativos de ejercicios anteriores)</t>
  </si>
  <si>
    <t xml:space="preserve">     V. Otras aportaciones de socios</t>
  </si>
  <si>
    <t xml:space="preserve">    VI. Resultado del ejercicio</t>
  </si>
  <si>
    <t xml:space="preserve">   VII. (Dividendo a cuenta)</t>
  </si>
  <si>
    <t>A-2) Ajustes por cambios de valor</t>
  </si>
  <si>
    <t>A-3) Subvenciones, donaciones y legados recibidos</t>
  </si>
  <si>
    <t>B) PASIVO NO CORRIENTE</t>
  </si>
  <si>
    <t xml:space="preserve">      I. Provisiones a largo plazo</t>
  </si>
  <si>
    <t xml:space="preserve">          1. Obligaciones por prestaciones a LP al personal</t>
  </si>
  <si>
    <t xml:space="preserve">          2. Actuaciones medioambientales</t>
  </si>
  <si>
    <t xml:space="preserve">          3. Provisiones por reestructuración</t>
  </si>
  <si>
    <t xml:space="preserve">          4. Otras provisiones</t>
  </si>
  <si>
    <t xml:space="preserve">    II. Deudas a largo plazo</t>
  </si>
  <si>
    <t xml:space="preserve">         1. Deudas con entidades de credito</t>
  </si>
  <si>
    <t xml:space="preserve">   IV. Pasivos por impuesto diferido</t>
  </si>
  <si>
    <t>C) PASIVO CORRIENTE</t>
  </si>
  <si>
    <t xml:space="preserve">    I. Pasivos vinculados con a.n.c. mantenidos para vta.</t>
  </si>
  <si>
    <t xml:space="preserve">   II. Provisiones a corto plazo</t>
  </si>
  <si>
    <t xml:space="preserve">  III. Deudas a corto plazo</t>
  </si>
  <si>
    <t xml:space="preserve">    V. Acreedores comerciales y otras cuentas a pagar</t>
  </si>
  <si>
    <t xml:space="preserve">        1. Proveedores</t>
  </si>
  <si>
    <t xml:space="preserve">        3. Acreedores varios</t>
  </si>
  <si>
    <t xml:space="preserve">        4. Personal (remuneraciones pendientes de pago)</t>
  </si>
  <si>
    <t xml:space="preserve">        5. Pasivos por impuesto corriente</t>
  </si>
  <si>
    <t xml:space="preserve">        6. Otras deudas con las Administraciones Publicas</t>
  </si>
  <si>
    <t xml:space="preserve">        7. Anticipos de clientes</t>
  </si>
  <si>
    <t>TOTAL PATRIMONIO NETO Y PASIVO (A+B+C)</t>
  </si>
  <si>
    <t xml:space="preserve">    II. Operaciones de cobertura</t>
  </si>
  <si>
    <t xml:space="preserve">   III. Otros</t>
  </si>
  <si>
    <t>A) OPERACIONES CONTINUADAS</t>
  </si>
  <si>
    <t xml:space="preserve">      1. Importe neto de la cifra de negocios</t>
  </si>
  <si>
    <t xml:space="preserve">             a) Ventas</t>
  </si>
  <si>
    <t xml:space="preserve">             b) Prestaciones de servicios</t>
  </si>
  <si>
    <t xml:space="preserve">                  Prestaciones de servicios 3</t>
  </si>
  <si>
    <t xml:space="preserve">                  Prestaciones de servicios 4</t>
  </si>
  <si>
    <t xml:space="preserve">      2. Variación de existencias de productos terminados y en curso</t>
  </si>
  <si>
    <t xml:space="preserve">      3. Trabajos realizados por la empresa para su activo</t>
  </si>
  <si>
    <t xml:space="preserve">      4. Aprovisionamientos</t>
  </si>
  <si>
    <t xml:space="preserve">              a) Consumo de mercaderías</t>
  </si>
  <si>
    <t xml:space="preserve">              b) Consumo de materias primas y otras materias consumibles</t>
  </si>
  <si>
    <t xml:space="preserve">              c) Trabajos realizados por otras empresas</t>
  </si>
  <si>
    <t xml:space="preserve">               1. Comerciales</t>
  </si>
  <si>
    <t xml:space="preserve">               2. Materias primas y otros aprovisionamientos</t>
  </si>
  <si>
    <t xml:space="preserve">               3. Productos en curso</t>
  </si>
  <si>
    <t xml:space="preserve">               4. Productos terminados</t>
  </si>
  <si>
    <t xml:space="preserve">               5. Subproductos, residuos y materiales recuperados</t>
  </si>
  <si>
    <t xml:space="preserve">              a) Ingresos accesorios y otros de gestión corriente</t>
  </si>
  <si>
    <t xml:space="preserve">      5. Otros ingresos de explotación</t>
  </si>
  <si>
    <t xml:space="preserve">              b) Subvenciones de explotación del Ayuntamiento</t>
  </si>
  <si>
    <t xml:space="preserve">              c) Otras subvenciones de explotación</t>
  </si>
  <si>
    <t xml:space="preserve">      6. Gastos de personal</t>
  </si>
  <si>
    <t xml:space="preserve">              b) Cargas sociales</t>
  </si>
  <si>
    <t xml:space="preserve">              c) Provisiones</t>
  </si>
  <si>
    <t xml:space="preserve">      7. Otros gastos de explotación</t>
  </si>
  <si>
    <t xml:space="preserve">              a) Servicios exteriores</t>
  </si>
  <si>
    <t xml:space="preserve">              b) Tributos</t>
  </si>
  <si>
    <t xml:space="preserve">              c) Pérdidas, deterioro y var. de prov. por op. comerciales</t>
  </si>
  <si>
    <t xml:space="preserve">              d) Otros gastos de gestión corriente</t>
  </si>
  <si>
    <t xml:space="preserve">      8. Amortización del inmovilizado</t>
  </si>
  <si>
    <t xml:space="preserve">              a) Amortización del inmovilizado intangible</t>
  </si>
  <si>
    <t xml:space="preserve">              b) Amortización del inmovilizado material</t>
  </si>
  <si>
    <t xml:space="preserve">              c) Amortización de las inversiones inmobiliarias</t>
  </si>
  <si>
    <t xml:space="preserve">      9. Imputación de subvenciones de inmovilizado no financiero y otras</t>
  </si>
  <si>
    <t xml:space="preserve">     11. Deterioro y resultado por enajenaciones del inmovilizado</t>
  </si>
  <si>
    <t xml:space="preserve">               a) Deterioros y pérdidas</t>
  </si>
  <si>
    <t xml:space="preserve">               b) Resultados por enajenaciones y otros</t>
  </si>
  <si>
    <t xml:space="preserve">     12. Otros resultados</t>
  </si>
  <si>
    <t xml:space="preserve">     13. Ingresos financieros</t>
  </si>
  <si>
    <t xml:space="preserve">             a) De participaciones en instrumentos de patrimonio</t>
  </si>
  <si>
    <t xml:space="preserve">            b) Por deudas con terceros</t>
  </si>
  <si>
    <t xml:space="preserve">            a) Cartera de negociación y otros</t>
  </si>
  <si>
    <t xml:space="preserve">            b) Imputación al resultado del ejercicio por AFDV</t>
  </si>
  <si>
    <t xml:space="preserve">     14. Gastos financieros</t>
  </si>
  <si>
    <t xml:space="preserve">     15. Variación de valor razonable en instrumentos financieros</t>
  </si>
  <si>
    <t xml:space="preserve">     16. Diferencias de cambio</t>
  </si>
  <si>
    <t xml:space="preserve">     18. Impuesto sobre beneficios</t>
  </si>
  <si>
    <t>B) OPERACIONES INTERRUMPIDAS</t>
  </si>
  <si>
    <t>A.5) RESULTADO DEL EJERCICIO (A.4+19)</t>
  </si>
  <si>
    <t xml:space="preserve">              d) Deterioro de mercaderías, materias primas y otros aprov.</t>
  </si>
  <si>
    <t xml:space="preserve">     17. Deterioro y resultado por enajenaciones de instrumentos financ.</t>
  </si>
  <si>
    <t xml:space="preserve">     19. Rdo. ejercicio procedente de op. interrumpidas neto de impuestos</t>
  </si>
  <si>
    <t>NOTA: las ventas y/o prestaciones de servicios deben figurar desglosadas, cómo máximo en cuatro apartados, que recojan las diferentes actividades o líneas de negocio.</t>
  </si>
  <si>
    <t>ESTADO DE FLUJOS DE EFECTIVO</t>
  </si>
  <si>
    <t>A) FLUJOS DE EFECTIVO DE LAS ACTIV. DE EXPLOTACION</t>
  </si>
  <si>
    <t xml:space="preserve">   1. Resultado del ejercicio antes de impuestos</t>
  </si>
  <si>
    <t xml:space="preserve">   2. Ajustes del resultado</t>
  </si>
  <si>
    <t xml:space="preserve">       a) Amortización del inmovilizado</t>
  </si>
  <si>
    <t xml:space="preserve">       b) Correcciones valorativas por deterioro</t>
  </si>
  <si>
    <t xml:space="preserve">       c) Variación de provisiones</t>
  </si>
  <si>
    <t xml:space="preserve">       d) Imputación de subvenciones</t>
  </si>
  <si>
    <t xml:space="preserve">       e) Resultados por bajas y enajenaciones del inmovilizado</t>
  </si>
  <si>
    <t xml:space="preserve">       f) Resultados por bajas y enajenaciones de instrumentos financieros</t>
  </si>
  <si>
    <t xml:space="preserve">       g) Ingresos financieros</t>
  </si>
  <si>
    <t xml:space="preserve">       h) Gastos financieros</t>
  </si>
  <si>
    <t xml:space="preserve">       i) Diferencias de cambio</t>
  </si>
  <si>
    <t xml:space="preserve">       j) Variación de valor razonable en instrumentos financieros</t>
  </si>
  <si>
    <t xml:space="preserve">       k) Otros ingresos y gastos</t>
  </si>
  <si>
    <t xml:space="preserve">   3.Cambios en el capital corriente</t>
  </si>
  <si>
    <r>
      <t>A.1) RESULTADO DE EXPLOTACIÓN</t>
    </r>
    <r>
      <rPr>
        <b/>
        <sz val="12"/>
        <rFont val="Arial Narrow"/>
        <family val="2"/>
      </rPr>
      <t xml:space="preserve"> </t>
    </r>
    <r>
      <rPr>
        <b/>
        <sz val="10"/>
        <rFont val="Arial Narrow"/>
        <family val="2"/>
      </rPr>
      <t>(1+2+3+4+5+6+7+8+9+10+11+12)</t>
    </r>
  </si>
  <si>
    <r>
      <t xml:space="preserve">A.2) RESULTADO FINANCIERO </t>
    </r>
    <r>
      <rPr>
        <b/>
        <sz val="10"/>
        <rFont val="Arial Narrow"/>
        <family val="2"/>
      </rPr>
      <t>(13+14+15+16+17)</t>
    </r>
  </si>
  <si>
    <r>
      <t xml:space="preserve">A.3) RESULTADO ANTES DE IMPUESTOS </t>
    </r>
    <r>
      <rPr>
        <b/>
        <sz val="10"/>
        <rFont val="Arial Narrow"/>
        <family val="2"/>
      </rPr>
      <t>(A.1+A.2)</t>
    </r>
  </si>
  <si>
    <r>
      <t xml:space="preserve">A.4) RDO. EJERCICIO PROCEDENTE DE OP. CONTINUADAS </t>
    </r>
    <r>
      <rPr>
        <b/>
        <sz val="10"/>
        <rFont val="Arial Narrow"/>
        <family val="2"/>
      </rPr>
      <t>(A.3+18)</t>
    </r>
  </si>
  <si>
    <t xml:space="preserve">       a) Existencias</t>
  </si>
  <si>
    <t xml:space="preserve">       b) Deudores y otras cuentas a cobrar</t>
  </si>
  <si>
    <t xml:space="preserve">       c) Otros activos corrientes</t>
  </si>
  <si>
    <t xml:space="preserve">       d) Acreedores y otras cuentas a pagar</t>
  </si>
  <si>
    <t xml:space="preserve">       e) Otros pasivos corrientes</t>
  </si>
  <si>
    <t xml:space="preserve">        f) Otros activos y pasivos no corrientes</t>
  </si>
  <si>
    <t xml:space="preserve">   4. Otros flujos de efectivo de las actividades de explotación</t>
  </si>
  <si>
    <t xml:space="preserve">       d) Pagos o cobros por impuesto sobre beneficios</t>
  </si>
  <si>
    <t>B) FLUJOS DE EFECTIVO DE LAS ACTIV. DE INVERSION</t>
  </si>
  <si>
    <t xml:space="preserve">   6. Pagos por inversiones</t>
  </si>
  <si>
    <t xml:space="preserve">       a) Inmovilizado intangible</t>
  </si>
  <si>
    <t xml:space="preserve">       b) Inmovilizado material</t>
  </si>
  <si>
    <t xml:space="preserve">       c) Inversiones inmobiliarias</t>
  </si>
  <si>
    <t xml:space="preserve">       d) Otros activos financieros</t>
  </si>
  <si>
    <t xml:space="preserve">       e) Activos no corrientes mantenidos para venta</t>
  </si>
  <si>
    <t xml:space="preserve">       f) Otros activos</t>
  </si>
  <si>
    <t xml:space="preserve">  8. Flujos de efectivo de las actividades de inversión (6+7)</t>
  </si>
  <si>
    <t xml:space="preserve">   5. Flujos de efectivo de las actividades de explotación (1+2+3+4)</t>
  </si>
  <si>
    <t>C) FLUJOS DE EFECTIVO DE LAS ACTIV. DE FINANCIACION</t>
  </si>
  <si>
    <t xml:space="preserve">   9.Cobros y pagos por instrumentros de patrimonio</t>
  </si>
  <si>
    <t xml:space="preserve">   7. Cobros por desinversiones</t>
  </si>
  <si>
    <t xml:space="preserve">       a) Emisión de instrumentos de patrimonio</t>
  </si>
  <si>
    <t xml:space="preserve">       b) Amortización de instrumentos de patrimonio</t>
  </si>
  <si>
    <t xml:space="preserve">       c) Subvenciones, donaciones y legados recibidos</t>
  </si>
  <si>
    <t xml:space="preserve">   10. Cobros y pagos por instrumentos de pasivo financiero</t>
  </si>
  <si>
    <t xml:space="preserve">       a) Emisión</t>
  </si>
  <si>
    <t xml:space="preserve">       b) Devolución y amortización de</t>
  </si>
  <si>
    <t xml:space="preserve">   11. Pagos por dividendos y remun. de otros instr. de patrimonio</t>
  </si>
  <si>
    <t xml:space="preserve">       a) Dividendos</t>
  </si>
  <si>
    <t xml:space="preserve">       b) Remuneración de otros instrumentos de patrimonio</t>
  </si>
  <si>
    <t xml:space="preserve">  12. Flujos de efectivo de las actividades de financiación (9+10+11)</t>
  </si>
  <si>
    <t>D) EFECTO DE LAS VARIACIONES DE LOS TIPOS DE CAMBIO</t>
  </si>
  <si>
    <t>E) AUMENTO / DISMINUCION NETA DEL EFECTIVO
 O EQUIVALENTES   (5+8+12+D)</t>
  </si>
  <si>
    <t xml:space="preserve">              1. Instrumentos de patrimonio</t>
  </si>
  <si>
    <t xml:space="preserve">              2. Créditos a terceros</t>
  </si>
  <si>
    <t xml:space="preserve">              3. Valores representativos de deuda</t>
  </si>
  <si>
    <t xml:space="preserve">              4. Derivados</t>
  </si>
  <si>
    <t xml:space="preserve">      V. Periodificaciones a corto plazo</t>
  </si>
  <si>
    <t xml:space="preserve">     I. Activos financieros disponibles venta</t>
  </si>
  <si>
    <t xml:space="preserve">         2. Acreedores por arrendamiento financiero</t>
  </si>
  <si>
    <t xml:space="preserve">         3. Derivados</t>
  </si>
  <si>
    <t xml:space="preserve">         4. Otros pasivos financieros</t>
  </si>
  <si>
    <t xml:space="preserve">   V. Periodificaciones a largo plazo</t>
  </si>
  <si>
    <t xml:space="preserve">  VI. Periodificaciones a corto plazo</t>
  </si>
  <si>
    <t xml:space="preserve">              1. Desarrollo</t>
  </si>
  <si>
    <t xml:space="preserve">              a) Sueldos, salarios y asimilados</t>
  </si>
  <si>
    <t xml:space="preserve">     10. Excesos de provisiones</t>
  </si>
  <si>
    <t xml:space="preserve">             b) De valores negociables y otros instrumentos financieros</t>
  </si>
  <si>
    <t xml:space="preserve">            c) Por actualización de provisiones</t>
  </si>
  <si>
    <t xml:space="preserve">               b) Resultados por enajenaciones y otras</t>
  </si>
  <si>
    <t xml:space="preserve">       a) Pagos de intereses </t>
  </si>
  <si>
    <t xml:space="preserve">       b) Cobros de dividendos</t>
  </si>
  <si>
    <t xml:space="preserve">       c)Cobros de intereses</t>
  </si>
  <si>
    <t xml:space="preserve">            3. Otras deudas</t>
  </si>
  <si>
    <t>Efectivo o equvalentes al comienzo del ejercicio</t>
  </si>
  <si>
    <t>Efectivo o equvalentes al final del ejercicio</t>
  </si>
  <si>
    <t xml:space="preserve">      4. Aprovisionamientos (a+b+c)</t>
  </si>
  <si>
    <t xml:space="preserve">     7.a) Servicios exteriores</t>
  </si>
  <si>
    <t xml:space="preserve">     7.b) Tributos</t>
  </si>
  <si>
    <t xml:space="preserve">     7.d) Otros gastos de gestión corriente</t>
  </si>
  <si>
    <t xml:space="preserve">               a) Ingresos excepcionales</t>
  </si>
  <si>
    <t xml:space="preserve">               b) Gastos excepcionales</t>
  </si>
  <si>
    <t xml:space="preserve">    12.b) Gastos excepcionales</t>
  </si>
  <si>
    <t xml:space="preserve">      5.b) Subvenciones de explotación del Ayuntamiento</t>
  </si>
  <si>
    <t xml:space="preserve">      5.c) Otras subvenciones de explotación</t>
  </si>
  <si>
    <t xml:space="preserve">      5.a) Ingresos accesorios y otros de gestión corriente</t>
  </si>
  <si>
    <t xml:space="preserve">     12.a) Ingresos excepcionales</t>
  </si>
  <si>
    <t xml:space="preserve">            1. Deudas con entidades de crédito</t>
  </si>
  <si>
    <t>Ajustes variables</t>
  </si>
  <si>
    <t xml:space="preserve">     I. Subvenciones de capital del Ayuntamiento</t>
  </si>
  <si>
    <t xml:space="preserve">    II. Otras subvenciones de capital</t>
  </si>
  <si>
    <t xml:space="preserve">   III. Adscripción de bienes</t>
  </si>
  <si>
    <t>COMPROBACIONES</t>
  </si>
  <si>
    <t xml:space="preserve">              2. Ayuntamiento, OOAA, Empr.Municipales, deudores</t>
  </si>
  <si>
    <t xml:space="preserve">   III. Deudas con el Ayto., OOAA, Empr.Munic. a LP</t>
  </si>
  <si>
    <t xml:space="preserve">            a) Por deudas con el Ayuntamiento, OOAA y Empr.Municipales</t>
  </si>
  <si>
    <t xml:space="preserve">              6. Otros activos financieros</t>
  </si>
  <si>
    <t xml:space="preserve">              5. Inv.financ. en Empresas Municipales, OOAA y Ayto</t>
  </si>
  <si>
    <t xml:space="preserve">                     a.1) En Empresas Municipales, OOAA y Ayto</t>
  </si>
  <si>
    <t xml:space="preserve">                     a.2) En terceros</t>
  </si>
  <si>
    <t xml:space="preserve">                     b.1) En Empresas Municipales, OOAA y Ayto</t>
  </si>
  <si>
    <t xml:space="preserve">                     b.2) En terceros</t>
  </si>
  <si>
    <t xml:space="preserve">               6. Anticipos a proveedores</t>
  </si>
  <si>
    <t>APLICACIÓN DE FONDOS</t>
  </si>
  <si>
    <t>ORIGEN DE FONDOS</t>
  </si>
  <si>
    <t>1.AUTOFINANCIACIÓN</t>
  </si>
  <si>
    <t xml:space="preserve">   1.1.Resultados del ejercicio</t>
  </si>
  <si>
    <t xml:space="preserve">          2.2.a).Terrenos y construcciones</t>
  </si>
  <si>
    <t xml:space="preserve">          2.2.b).Instalaciones técnicas y maquinaria</t>
  </si>
  <si>
    <t xml:space="preserve">          2.2.c).Otras instalaciones,utillaje y mobiliario</t>
  </si>
  <si>
    <t xml:space="preserve">          2.2.d).Anticipos e inmovilizado en curso</t>
  </si>
  <si>
    <t xml:space="preserve">          2.2.e).Otro inmovilizado material</t>
  </si>
  <si>
    <t>2.APORTACIONES DE CAPITAL</t>
  </si>
  <si>
    <t xml:space="preserve">    2.1. Del Ayuntamiento de Madrid</t>
  </si>
  <si>
    <t xml:space="preserve">    2.2. De otros accionistas</t>
  </si>
  <si>
    <t>3.SUBVENCIONES DE CAPITAL</t>
  </si>
  <si>
    <t xml:space="preserve">    3.1.Del Ayuntamiento</t>
  </si>
  <si>
    <t xml:space="preserve">    3.2.De otros</t>
  </si>
  <si>
    <t>4.FINANCIACIÓN AJENA A LARGO PLAZO</t>
  </si>
  <si>
    <t xml:space="preserve">    4.1.Deudas con entidades de crédito</t>
  </si>
  <si>
    <t xml:space="preserve">    5.2.Inmovilizado material</t>
  </si>
  <si>
    <t>TOTAL APLICACIONES</t>
  </si>
  <si>
    <t>TOTAL ORÍGENES</t>
  </si>
  <si>
    <t xml:space="preserve">   IV. Deudas con el Ayto., OOAA, Empr.Munic. a CP</t>
  </si>
  <si>
    <t>1.ADQUISICIONES DE INMOVILIZADO</t>
  </si>
  <si>
    <t xml:space="preserve">    1.1.Inmovilizado intangible</t>
  </si>
  <si>
    <t xml:space="preserve">          1.1.a).Gastos de Investigación y desarrollo</t>
  </si>
  <si>
    <t xml:space="preserve">          1.1.b).Propiedad Industrial</t>
  </si>
  <si>
    <t xml:space="preserve">          1.1.c).Aplicaciones informáticas</t>
  </si>
  <si>
    <t xml:space="preserve">          1.1.d).Otro inmovilizado inmaterial</t>
  </si>
  <si>
    <t xml:space="preserve">    1.2.Inmovilizado material</t>
  </si>
  <si>
    <t xml:space="preserve">    1.3.Inversiones inmobiliarias</t>
  </si>
  <si>
    <t xml:space="preserve">          1.3.a).Terrenos</t>
  </si>
  <si>
    <t xml:space="preserve">          1.3.b).Construcciones</t>
  </si>
  <si>
    <t xml:space="preserve">    1.4.Inversiones financieras.</t>
  </si>
  <si>
    <t xml:space="preserve">          1.4.a). Instrumentos de patrimonio</t>
  </si>
  <si>
    <t xml:space="preserve">          1.4.b). Créditos a terceros</t>
  </si>
  <si>
    <t xml:space="preserve">          1.4.c). Valores representativos de deuda</t>
  </si>
  <si>
    <t xml:space="preserve">          1.4.d). Derivados</t>
  </si>
  <si>
    <t xml:space="preserve">          1.4.e). Inv.financ. en Empresas Municipales, OOAA y Ayto</t>
  </si>
  <si>
    <t xml:space="preserve">          1.4.f). Otros activos financieros</t>
  </si>
  <si>
    <t>2.REDUCCIÓN DE CAPITAL</t>
  </si>
  <si>
    <t>3.DIVIDENDOS</t>
  </si>
  <si>
    <t>4.AMORTIZACIÓN DE DEUDA</t>
  </si>
  <si>
    <t xml:space="preserve">    4.2.Deuda con el Ayuntamiento, OOAA y Empr..Municipales</t>
  </si>
  <si>
    <t>5.APLICACION PROVISION (PAGOS)</t>
  </si>
  <si>
    <t xml:space="preserve">   1.2.Amortización del inmovilizado</t>
  </si>
  <si>
    <t xml:space="preserve">   1.3.Correcciones valorativas por deterioro</t>
  </si>
  <si>
    <t xml:space="preserve">   1.4. Variación de provisiones</t>
  </si>
  <si>
    <t xml:space="preserve">   1.5.Imputación de subvenciones</t>
  </si>
  <si>
    <t xml:space="preserve">   1.6.Resultados por bajas y enajenaciones del inmovilizado</t>
  </si>
  <si>
    <t xml:space="preserve">   1.7.Resultados por bajas y enajenaciones de instrumentos financieros</t>
  </si>
  <si>
    <t xml:space="preserve">   1.8.Diferencias de cambio</t>
  </si>
  <si>
    <t xml:space="preserve">   1.9.Variación de valor razonable en instrumentos financieros</t>
  </si>
  <si>
    <t xml:space="preserve">    4.2.Deuda con el Ayuntamiento, OOAA y Empr.Municipales</t>
  </si>
  <si>
    <t xml:space="preserve">    5.1.Inmovilizado intangible</t>
  </si>
  <si>
    <t xml:space="preserve">    5.3. Inversiones inmobiliarias</t>
  </si>
  <si>
    <t xml:space="preserve">    5.4. Inversiones financieras</t>
  </si>
  <si>
    <t>EXCESO DE ORÍGENES</t>
  </si>
  <si>
    <t>EXCESO DE APLICACIONES</t>
  </si>
  <si>
    <t>5.ENAJENACIÓN DE INMOVILIZADO</t>
  </si>
  <si>
    <t>PRESUPUESTO DE CAPITAL. PROGRAMA ANUAL DE ACTUACIONES, INVERSIONES Y FINANCIACIÓN (PAIF)</t>
  </si>
  <si>
    <t xml:space="preserve">    4.3.Otras deudas</t>
  </si>
  <si>
    <t xml:space="preserve">            2. Deudas con el Ayuntamiento, OOAA y Empr. Municipales</t>
  </si>
  <si>
    <t xml:space="preserve">    4.3.Otras deudas a l.pl.</t>
  </si>
  <si>
    <t xml:space="preserve">    5.5. Activos no corrientes matenidos para venta (no financieros)</t>
  </si>
  <si>
    <t xml:space="preserve">    5.6. Activos no corrientes matenidos para venta (financieros)</t>
  </si>
  <si>
    <t xml:space="preserve">      6.a) Sueldos, salarios y asimilados</t>
  </si>
  <si>
    <t xml:space="preserve">      6.b) Cargas sociales</t>
  </si>
  <si>
    <t xml:space="preserve">       13. Ingresos financieros</t>
  </si>
  <si>
    <t xml:space="preserve">       5.1) Inmovilizado intangible</t>
  </si>
  <si>
    <t xml:space="preserve">       5.2) Inmovilizado material</t>
  </si>
  <si>
    <t xml:space="preserve">       5.3) Inversiones inmobiliarias</t>
  </si>
  <si>
    <t xml:space="preserve">       5.5) Activos no corrientes mantenidos para venta (no financieros)</t>
  </si>
  <si>
    <t xml:space="preserve">       3) Subvenciones de capital</t>
  </si>
  <si>
    <t xml:space="preserve">       5.4) Inversiones financieras</t>
  </si>
  <si>
    <t xml:space="preserve">       5.6) Activos no corrientes mantenidos para venta (financieros)</t>
  </si>
  <si>
    <t xml:space="preserve">       2) Aportaciones de capital</t>
  </si>
  <si>
    <t xml:space="preserve">       4) Financiación ajena a largo plazo</t>
  </si>
  <si>
    <t xml:space="preserve">       1.1) Inmovilizado intangible</t>
  </si>
  <si>
    <t xml:space="preserve">       1.2) Inmovilizado material</t>
  </si>
  <si>
    <t xml:space="preserve">       1.3) Inversiones inmobiliarias</t>
  </si>
  <si>
    <t xml:space="preserve">       1.4) Inversiones financieras</t>
  </si>
  <si>
    <t xml:space="preserve">       2) Reducción de capital</t>
  </si>
  <si>
    <t xml:space="preserve">       4) Amortización de deuda</t>
  </si>
  <si>
    <t xml:space="preserve">     Diferencia existencias finales e iniciales de Balance</t>
  </si>
  <si>
    <t xml:space="preserve">        3) Dividendos</t>
  </si>
  <si>
    <t>PRESUPUESTO DE EXPLOTACIÓN. CUENTA DE PÉRDIDAS Y GANANCIAS</t>
  </si>
  <si>
    <t>PERSONAL (A)</t>
  </si>
  <si>
    <t>Nº TOTAL(B)</t>
  </si>
  <si>
    <t>REMUN. INTEGRAS(C)</t>
  </si>
  <si>
    <t>(B). Plantilla media, se calculará ponderando los períodos de contratación de los trabajadores.Se incluye personal alta dirección.</t>
  </si>
  <si>
    <t>(A). Personal clasificado por categorias profesionales según Convenio. Además se incluiran las categorias necesarias para reflejar el personal fuera de Convenio.</t>
  </si>
  <si>
    <t>(C). Por todos los conceptos, salvo antigüedad, complementos de pensiones, horas extras y Seguridad Social.</t>
  </si>
  <si>
    <t>TOTAL DEUDA PASIVOS
 MAS HIPOTECARIOS</t>
  </si>
  <si>
    <t xml:space="preserve">       e) Otros pagos o cobros</t>
  </si>
  <si>
    <t>AUMENTO PAIF</t>
  </si>
  <si>
    <t>DISMINUCION PAIF</t>
  </si>
  <si>
    <t>SALDO FINAL SEGÚN BALANCE</t>
  </si>
  <si>
    <t>SALDO INICIAL SEGÚN BALANCE</t>
  </si>
  <si>
    <t>EFE</t>
  </si>
  <si>
    <t>PASIVOS</t>
  </si>
  <si>
    <t>DEUDA CON ENTIDADES DE CREDITO DE REAL A ESTIMADO</t>
  </si>
  <si>
    <t>DEUDA CON ENTIDADES DE CREDITO DE ESTIMADO A PRESUPUESTO</t>
  </si>
  <si>
    <t xml:space="preserve">   1.10.Variación de existencias</t>
  </si>
  <si>
    <t>PAGOS POR IMPUESTO BENEFICIOS REALIZADOS DURANTE EL EJERCICIO</t>
  </si>
  <si>
    <t>LIQUIDACIÓN IMPUESTO BENEFICIOS EJERCICIO ANTERIOR</t>
  </si>
  <si>
    <t xml:space="preserve">      Pago por Impuesto sobre beneficios</t>
  </si>
  <si>
    <t xml:space="preserve">      Cobro por Impuesto sobre beneficios</t>
  </si>
  <si>
    <t xml:space="preserve">   1.11.Ajuste por impuesto sobre beneficios</t>
  </si>
  <si>
    <t xml:space="preserve">   1.12.Otros ingresos y gastos</t>
  </si>
  <si>
    <t>EXCESO DE APLICACIONES (Déficit)</t>
  </si>
  <si>
    <t>EXCESO DE ORÍGENES (Superávit)</t>
  </si>
  <si>
    <t xml:space="preserve">     5.1 Aplicaciones (pagos) provisiones de personal</t>
  </si>
  <si>
    <t xml:space="preserve">     5.2 Aplicaciones (pagos) resto de provisiones</t>
  </si>
  <si>
    <t xml:space="preserve">             c) Incorporación al activo de gastos financieros</t>
  </si>
  <si>
    <t>Asimismo sería conveniente indicar el número de versión enviada (en el propio nombre del archivo Excel) a efectos de su mejor control.</t>
  </si>
  <si>
    <t>En la ficha de PyG habrán de rellenarse las denominaciones concretas de Ventas 1.... y Prestación de servicios 1.... que proceda.</t>
  </si>
  <si>
    <r>
      <t>2</t>
    </r>
    <r>
      <rPr>
        <sz val="10.5"/>
        <rFont val="Verdana"/>
        <family val="2"/>
      </rPr>
      <t>. Los importes monetarios se introducirán necesariamente en unidades de euro, sin decimales. Si se consigna la cifra con decimales distorsionarán las comprobaciones y vinculaciones, pese a que en la vista de pantalla aparezca el importe redondeado (sin decimales).</t>
    </r>
  </si>
  <si>
    <r>
      <t>3</t>
    </r>
    <r>
      <rPr>
        <sz val="10.5"/>
        <rFont val="Verdana"/>
        <family val="2"/>
      </rPr>
      <t>. Sólo habrán de cumplimentarse, en su caso, las celdas sombreadas.</t>
    </r>
  </si>
  <si>
    <r>
      <t>4</t>
    </r>
    <r>
      <rPr>
        <sz val="10.5"/>
        <rFont val="Verdana"/>
        <family val="2"/>
      </rPr>
      <t>. El resto de celdas, o bien contienen fórmulas, o bien vinculaciones automáticas entre las distintas hojas, al objeto de facilitar la cumplimentación de las mismas.</t>
    </r>
  </si>
  <si>
    <r>
      <t>5</t>
    </r>
    <r>
      <rPr>
        <sz val="10.5"/>
        <rFont val="Verdana"/>
        <family val="2"/>
      </rPr>
      <t>.      En la ficha de “Balance” se ha introducido un cuadro de COMPROBACIONES para aquellas magnitudes que han de ser iguales en las distintas fichas. Lógicamente, al final de la elaboración de las fichas por la Empresa, dicho cuadro de comprobaciones ha de aparecer en blanco.</t>
    </r>
  </si>
  <si>
    <r>
      <t>7</t>
    </r>
    <r>
      <rPr>
        <sz val="10.5"/>
        <rFont val="Verdana"/>
        <family val="2"/>
      </rPr>
      <t xml:space="preserve">.      En la ficha de “PAIF”, en el apartado 4. de la Aplicación de Fondos (Amortización de deuda) se consignará el </t>
    </r>
    <r>
      <rPr>
        <b/>
        <sz val="10.5"/>
        <rFont val="Verdana"/>
        <family val="2"/>
      </rPr>
      <t>pago</t>
    </r>
    <r>
      <rPr>
        <sz val="10.5"/>
        <rFont val="Verdana"/>
        <family val="2"/>
      </rPr>
      <t xml:space="preserve"> correspondiente a devolución de deuda, sin incluir la derivada de las pólizas de crédito a corto plazo.</t>
    </r>
  </si>
  <si>
    <r>
      <t>8</t>
    </r>
    <r>
      <rPr>
        <sz val="10.5"/>
        <rFont val="Verdana"/>
        <family val="2"/>
      </rPr>
      <t>.      En la ficha de “PAIF”, el apartado “1. Adquisiciones de inmovilizado” incluirá los intereses activados y los trabajos para el inmovilizado activados. Si la empresa activa intereses sin pasarlos previamente por Pérdidas y Ganancias deberá proporcionar información adicional al respecto.</t>
    </r>
  </si>
  <si>
    <t>PAGOS A CUENTA DEL EJERCICIO</t>
  </si>
  <si>
    <t>NOTA: las retenciones y los pagos a cuenta se pondrán con signo positivo. En la liquidación se pondrá signo positivo si salió a pagar y negativo si fue a devolver.</t>
  </si>
  <si>
    <t xml:space="preserve">       14.a) Gastos financieros por deudas con el Ayuntamiento, OOAA, Empr.</t>
  </si>
  <si>
    <t xml:space="preserve">       14.b) Gastos financieros por deudas con terceros</t>
  </si>
  <si>
    <t>TOTAL INGRESOS</t>
  </si>
  <si>
    <t>TOTAL GASTOS</t>
  </si>
  <si>
    <t>2. Variación de existencias de productos terminados y en curso</t>
  </si>
  <si>
    <t>15. Variación de valor razonable en instrumentos financieros</t>
  </si>
  <si>
    <t>16. Diferencias de cambio</t>
  </si>
  <si>
    <t>19. Rdo. ejercicio procedente de op. interrumpidas neto de impuestos</t>
  </si>
  <si>
    <t>11.a) Deterioros y perdidas</t>
  </si>
  <si>
    <t>11.b) Resultados por enajenaciones</t>
  </si>
  <si>
    <t>17.a) Deterioros y perdidas</t>
  </si>
  <si>
    <t>17.b) Resultados por enajenaciones</t>
  </si>
  <si>
    <t>RESULTADO</t>
  </si>
  <si>
    <t>RETENCIONES DEL EJERCICIO</t>
  </si>
  <si>
    <t>2012</t>
  </si>
  <si>
    <t>PRESUPUESTO 2012</t>
  </si>
  <si>
    <t xml:space="preserve">    3.3.Adscripción de bienes</t>
  </si>
  <si>
    <t>NOTAS:</t>
  </si>
  <si>
    <t>1. Se insertarán tantas filas como sean necesarias.</t>
  </si>
  <si>
    <t>2. En esta FICHA no procederá la reclasificación de largo a corto plazo. La deuda que nace a largo plazo permenecerá como tal hasta su vencimiento</t>
  </si>
  <si>
    <r>
      <t>11.</t>
    </r>
    <r>
      <rPr>
        <sz val="10.5"/>
        <rFont val="Verdana"/>
        <family val="2"/>
      </rPr>
      <t>  Los archivos informaticos de la MEMORIA y las FICHAS presupuestarias, con sus respectivas fechas de emisión habrán de ser enviadas a la siguiente dirección de correo electrónico: sgopempresas@munimadrid.es</t>
    </r>
  </si>
  <si>
    <r>
      <t>10</t>
    </r>
    <r>
      <rPr>
        <sz val="10.5"/>
        <rFont val="Verdana"/>
        <family val="2"/>
      </rPr>
      <t>.  En la MEMORIA habrán de completarse todos los apartados indicados en la ficha, según las instrucciones contenidas en las Normas de Elaboración. No deberán modificarse ni el tipo de letra ni los márgenes incluidos en la ficha.</t>
    </r>
  </si>
  <si>
    <r>
      <t>6</t>
    </r>
    <r>
      <rPr>
        <sz val="10.5"/>
        <rFont val="Verdana"/>
        <family val="2"/>
      </rPr>
      <t>.      En la ficha de “Estado de Flujos de Efectivo”,  “Pérdidas y Ganancias” y "PAIF" se ha introducido un formato condicional que hace que los importes de determinadas celdas salten en rojo si no tienen su signo correctamente consignado.</t>
    </r>
  </si>
  <si>
    <r>
      <t>1</t>
    </r>
    <r>
      <rPr>
        <sz val="10.5"/>
        <rFont val="Verdana"/>
        <family val="2"/>
      </rPr>
      <t>. El archivo (Libro) de Excel que contiene las fichas de presupuesto se envía “Protegido” al objeto de evitar errores y facilitar el tratamiento global de datos de todas las empresas en la Dirección General de Sector Público y Política Financiera. Por este motivo es imprescindible que el presupuesto se elabore y remita en el mismo archivo informático que se adjunta sin copiar hojas sueltas que inutilicen la protección. Sin este requisito no será posible admitir la información correspondiente</t>
    </r>
  </si>
  <si>
    <t>PRESUPUESTO ADMINISTRATIVO ESTIMADO 2012</t>
  </si>
  <si>
    <t>ESTIMADO 2012</t>
  </si>
  <si>
    <t>2013</t>
  </si>
  <si>
    <t>PRESUPUESTO ADMINISTRATIVO 2013</t>
  </si>
  <si>
    <t>INSTRUCCIONES DE ELABORACIÓN FICHAS DE PRESUPUESTO 2013</t>
  </si>
  <si>
    <r>
      <t>9</t>
    </r>
    <r>
      <rPr>
        <sz val="10.5"/>
        <rFont val="Verdana"/>
        <family val="2"/>
      </rPr>
      <t>.      Los importes en las columnas de ESTIMADO 31/12/12 habrán de ser coherentes con la información trimestral que las empresas deben aportar a la Dirección General del Sector Público y Política Financiera en base al Decreto de 02/04/08.</t>
    </r>
  </si>
  <si>
    <t>PRESUPUESTO 2013</t>
  </si>
  <si>
    <t>E - P13 - 01</t>
  </si>
  <si>
    <t>E - P13 - 02</t>
  </si>
  <si>
    <t>E - P13 - 03</t>
  </si>
  <si>
    <t>PRESUP. 2013</t>
  </si>
  <si>
    <t>E - P13 - 04</t>
  </si>
  <si>
    <t>E - P13- 05</t>
  </si>
  <si>
    <t>COSTE ESTIMADO AÑO 2012</t>
  </si>
  <si>
    <t>ESTIM 2012</t>
  </si>
  <si>
    <t>COSTE PRESUPUESTO AÑO 2013</t>
  </si>
  <si>
    <t>PREV. 2013</t>
  </si>
  <si>
    <t>E- P13 - 06</t>
  </si>
  <si>
    <t>DISPUESTO ESTIMADO 31/12/2012</t>
  </si>
  <si>
    <t>NUEVAS DISPOSICIONES/ NUEVO ENDEUDAMIENTO PREVISTO 2013</t>
  </si>
  <si>
    <t>AMORTIZACIONES/               DEVOLUCIONES              PREVISTAS 2013</t>
  </si>
  <si>
    <t>DISPUESTO PREVISTO 31/12/2013</t>
  </si>
  <si>
    <t>CAPITAL VIVO ESTIMADO 31/12/2012</t>
  </si>
  <si>
    <t>NUEVO ENDEUDAMIENTO PREVISTO 2013</t>
  </si>
  <si>
    <t>AMORTIZACIONES PREVISTAS 2013</t>
  </si>
  <si>
    <t>CAPITAL VIVO PREVISTO 31/12/2013</t>
  </si>
  <si>
    <t>E - P13 - 07</t>
  </si>
  <si>
    <t>CANCELACIONES PREVISTAS 2013</t>
  </si>
  <si>
    <t>SUBROGACIONES/                CANCELACIONES PREVISTAS 2013</t>
  </si>
  <si>
    <t>OPERACIONES DE ARRENDAMIENTO FINANCIERO</t>
  </si>
  <si>
    <t>ENTIDAD</t>
  </si>
  <si>
    <t>ACTIVO ARRENDADO</t>
  </si>
  <si>
    <t>DEUDA INICIAL</t>
  </si>
  <si>
    <t>LEASING BALANCE</t>
  </si>
  <si>
    <t>LEASING PASIVOS</t>
  </si>
  <si>
    <t xml:space="preserve">        2. Ayuntamiento, OOAA y Empr.Munic. proveedores</t>
  </si>
  <si>
    <t>CENTRO: 701</t>
  </si>
  <si>
    <t>SECCION: 035</t>
  </si>
  <si>
    <t>SOCIEDAD: EMPRESA MUNICIPAL DE LA VIVIENDA Y SUELO DE MADRID S.A.</t>
  </si>
  <si>
    <t>Directivos</t>
  </si>
  <si>
    <t>Jefe Departamento</t>
  </si>
  <si>
    <t>Técnico Dirección</t>
  </si>
  <si>
    <t>Jefe Sección</t>
  </si>
  <si>
    <t>Técnico Superior</t>
  </si>
  <si>
    <t>Técnico Grado Medio</t>
  </si>
  <si>
    <t>Técnico Administrativo</t>
  </si>
  <si>
    <t>Técnico Específico</t>
  </si>
  <si>
    <t>Secretaria Dirección</t>
  </si>
  <si>
    <t>Administrativo</t>
  </si>
  <si>
    <t>Auxiliar</t>
  </si>
  <si>
    <t>Técnico Mantenimiento</t>
  </si>
  <si>
    <t>BANKIA, S.A.</t>
  </si>
  <si>
    <t>ICO</t>
  </si>
  <si>
    <t>CAIXABANK</t>
  </si>
  <si>
    <t>ICO-BANKIA, S.A.</t>
  </si>
  <si>
    <t>IVIMA (HIPOTECARIO)</t>
  </si>
  <si>
    <t>IVIMA (NO HIPOTECARIO)</t>
  </si>
  <si>
    <t>SEDES EMVS LIBRE</t>
  </si>
  <si>
    <t>VPO Especial Arrendamiento</t>
  </si>
  <si>
    <t>VPPA</t>
  </si>
  <si>
    <t>VPPA OC/VPPACOJM</t>
  </si>
  <si>
    <t>VIS</t>
  </si>
  <si>
    <t>VPO Especial</t>
  </si>
  <si>
    <t>VPP/VPPB</t>
  </si>
  <si>
    <t>VPT/VPPL</t>
  </si>
  <si>
    <t>SUELO FINANCIACIÓN</t>
  </si>
  <si>
    <t>Técnico Gestión</t>
  </si>
  <si>
    <t>secretaria Servicio</t>
  </si>
  <si>
    <t>Conserje/Recepcionista</t>
  </si>
  <si>
    <t xml:space="preserve">                 Venta de viviendas</t>
  </si>
  <si>
    <t xml:space="preserve">                  Alquileres</t>
  </si>
  <si>
    <t xml:space="preserve">                  Venta de locales / garajes no vinculados / otros</t>
  </si>
  <si>
    <t xml:space="preserve">                  Venta de suelo</t>
  </si>
  <si>
    <t xml:space="preserve">                  Facturación de Lavapiés</t>
  </si>
  <si>
    <t xml:space="preserve">                  Facturación 3% tramitación expedientes</t>
  </si>
  <si>
    <t>AYUNTAMIENTO DE MADRID</t>
  </si>
  <si>
    <t xml:space="preserve"> </t>
  </si>
  <si>
    <t>Periodificación comisiones de apertura (incorporada en deudas a l/P del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</si>
</sst>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
  </numFmts>
  <fonts count="44" x14ac:knownFonts="1">
    <font>
      <sz val="10"/>
      <name val="Arial"/>
    </font>
    <font>
      <sz val="10"/>
      <name val="Arial"/>
      <family val="2"/>
    </font>
    <font>
      <b/>
      <sz val="10"/>
      <name val="Arial"/>
      <family val="2"/>
    </font>
    <font>
      <b/>
      <sz val="10"/>
      <name val="Arial Narrow"/>
      <family val="2"/>
    </font>
    <font>
      <sz val="10"/>
      <name val="Arial Narrow"/>
      <family val="2"/>
    </font>
    <font>
      <sz val="10"/>
      <name val="Arial"/>
      <family val="2"/>
    </font>
    <font>
      <b/>
      <sz val="12"/>
      <name val="Arial Narrow"/>
      <family val="2"/>
    </font>
    <font>
      <sz val="12"/>
      <name val="Arial"/>
      <family val="2"/>
    </font>
    <font>
      <b/>
      <sz val="14"/>
      <name val="Arial Narrow"/>
      <family val="2"/>
    </font>
    <font>
      <b/>
      <sz val="12"/>
      <name val="Arial"/>
      <family val="2"/>
    </font>
    <font>
      <sz val="11"/>
      <name val="Arial"/>
      <family val="2"/>
    </font>
    <font>
      <b/>
      <sz val="11"/>
      <name val="Arial"/>
      <family val="2"/>
    </font>
    <font>
      <sz val="10"/>
      <name val="Arial"/>
      <family val="2"/>
    </font>
    <font>
      <b/>
      <sz val="13"/>
      <name val="Arial Narrow"/>
      <family val="2"/>
    </font>
    <font>
      <u/>
      <sz val="10"/>
      <color indexed="12"/>
      <name val="Arial"/>
      <family val="2"/>
    </font>
    <font>
      <sz val="12"/>
      <name val="Arial"/>
      <family val="2"/>
    </font>
    <font>
      <u/>
      <sz val="10"/>
      <name val="Arial"/>
      <family val="2"/>
    </font>
    <font>
      <u/>
      <sz val="10"/>
      <name val="Arial Narrow"/>
      <family val="2"/>
    </font>
    <font>
      <b/>
      <sz val="11"/>
      <name val="Arial Narrow"/>
      <family val="2"/>
    </font>
    <font>
      <sz val="11"/>
      <name val="Arial Narrow"/>
      <family val="2"/>
    </font>
    <font>
      <sz val="7"/>
      <name val="Arial"/>
      <family val="2"/>
    </font>
    <font>
      <b/>
      <sz val="13"/>
      <name val="Arial"/>
      <family val="2"/>
    </font>
    <font>
      <sz val="10"/>
      <color indexed="12"/>
      <name val="Arial Narrow"/>
      <family val="2"/>
    </font>
    <font>
      <sz val="10"/>
      <color indexed="10"/>
      <name val="Arial Narrow"/>
      <family val="2"/>
    </font>
    <font>
      <sz val="10"/>
      <color indexed="12"/>
      <name val="Arial"/>
      <family val="2"/>
    </font>
    <font>
      <sz val="10"/>
      <color indexed="10"/>
      <name val="Arial"/>
      <family val="2"/>
    </font>
    <font>
      <b/>
      <sz val="10"/>
      <color indexed="10"/>
      <name val="Arial Narrow"/>
      <family val="2"/>
    </font>
    <font>
      <b/>
      <sz val="8"/>
      <name val="Arial Narrow"/>
      <family val="2"/>
    </font>
    <font>
      <b/>
      <i/>
      <sz val="10"/>
      <name val="Arial Narrow"/>
      <family val="2"/>
    </font>
    <font>
      <b/>
      <i/>
      <sz val="10"/>
      <name val="Arial"/>
      <family val="2"/>
    </font>
    <font>
      <b/>
      <sz val="8"/>
      <color indexed="81"/>
      <name val="Tahoma"/>
      <family val="2"/>
    </font>
    <font>
      <sz val="11"/>
      <color indexed="10"/>
      <name val="Arial"/>
      <family val="2"/>
    </font>
    <font>
      <sz val="8"/>
      <name val="Arial"/>
      <family val="2"/>
    </font>
    <font>
      <sz val="11"/>
      <name val="Arial"/>
      <family val="2"/>
    </font>
    <font>
      <sz val="10"/>
      <color indexed="17"/>
      <name val="Arial Narrow"/>
      <family val="2"/>
    </font>
    <font>
      <b/>
      <sz val="12"/>
      <color indexed="10"/>
      <name val="Arial"/>
      <family val="2"/>
    </font>
    <font>
      <b/>
      <sz val="14"/>
      <color indexed="10"/>
      <name val="Arial"/>
      <family val="2"/>
    </font>
    <font>
      <b/>
      <sz val="12"/>
      <color indexed="12"/>
      <name val="Arial"/>
      <family val="2"/>
    </font>
    <font>
      <sz val="8"/>
      <color indexed="81"/>
      <name val="Tahoma"/>
      <family val="2"/>
    </font>
    <font>
      <b/>
      <sz val="14"/>
      <color indexed="12"/>
      <name val="Verdana"/>
      <family val="2"/>
    </font>
    <font>
      <b/>
      <sz val="10.5"/>
      <name val="Verdana"/>
      <family val="2"/>
    </font>
    <font>
      <sz val="10.5"/>
      <name val="Verdana"/>
      <family val="2"/>
    </font>
    <font>
      <sz val="10"/>
      <color indexed="17"/>
      <name val="Arial"/>
      <family val="2"/>
    </font>
    <font>
      <sz val="11"/>
      <color rgb="FFFF0000"/>
      <name val="Arial"/>
      <family val="2"/>
    </font>
  </fonts>
  <fills count="9">
    <fill>
      <patternFill patternType="none"/>
    </fill>
    <fill>
      <patternFill patternType="gray125"/>
    </fill>
    <fill>
      <patternFill patternType="solid">
        <fgColor indexed="44"/>
        <bgColor indexed="64"/>
      </patternFill>
    </fill>
    <fill>
      <patternFill patternType="solid">
        <fgColor indexed="40"/>
        <bgColor indexed="64"/>
      </patternFill>
    </fill>
    <fill>
      <patternFill patternType="lightTrellis"/>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lightGray"/>
    </fill>
  </fills>
  <borders count="101">
    <border>
      <left/>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bottom style="double">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double">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hair">
        <color indexed="64"/>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s>
  <cellStyleXfs count="4">
    <xf numFmtId="0" fontId="0" fillId="0" borderId="0" applyFill="0"/>
    <xf numFmtId="0" fontId="14" fillId="0" borderId="0" applyNumberFormat="0" applyFill="0" applyBorder="0" applyAlignment="0" applyProtection="0">
      <alignment vertical="top"/>
      <protection locked="0"/>
    </xf>
    <xf numFmtId="0" fontId="1" fillId="0" borderId="0"/>
    <xf numFmtId="0" fontId="1" fillId="0" borderId="0"/>
  </cellStyleXfs>
  <cellXfs count="560">
    <xf numFmtId="0" fontId="0" fillId="0" borderId="0" xfId="0"/>
    <xf numFmtId="0" fontId="0" fillId="0" borderId="0" xfId="0" applyBorder="1"/>
    <xf numFmtId="0" fontId="6" fillId="0" borderId="0" xfId="0" applyFont="1" applyBorder="1"/>
    <xf numFmtId="0" fontId="6" fillId="0" borderId="1" xfId="0" applyFont="1" applyBorder="1" applyAlignment="1">
      <alignment horizontal="center"/>
    </xf>
    <xf numFmtId="0" fontId="6" fillId="0" borderId="0" xfId="0" applyFont="1"/>
    <xf numFmtId="0" fontId="8" fillId="0" borderId="0" xfId="0" applyFont="1" applyBorder="1"/>
    <xf numFmtId="0" fontId="6" fillId="2" borderId="2" xfId="0" applyFont="1" applyFill="1" applyBorder="1" applyAlignment="1">
      <alignment horizontal="center"/>
    </xf>
    <xf numFmtId="0" fontId="3" fillId="0" borderId="3" xfId="0" applyFont="1" applyBorder="1"/>
    <xf numFmtId="0" fontId="0" fillId="0" borderId="3" xfId="0" applyBorder="1"/>
    <xf numFmtId="0" fontId="4" fillId="0" borderId="3" xfId="0" applyFont="1" applyBorder="1"/>
    <xf numFmtId="0" fontId="6"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6" fillId="0" borderId="11" xfId="0" applyFont="1" applyBorder="1"/>
    <xf numFmtId="0" fontId="0" fillId="0" borderId="11" xfId="0" applyBorder="1"/>
    <xf numFmtId="0" fontId="6" fillId="0" borderId="8" xfId="0" applyFont="1" applyBorder="1"/>
    <xf numFmtId="0" fontId="0" fillId="0" borderId="8" xfId="0" applyBorder="1"/>
    <xf numFmtId="0" fontId="0" fillId="0" borderId="12" xfId="0" applyBorder="1"/>
    <xf numFmtId="0" fontId="0" fillId="0" borderId="0" xfId="0" applyBorder="1" applyProtection="1">
      <protection locked="0"/>
    </xf>
    <xf numFmtId="0" fontId="4" fillId="0" borderId="0" xfId="0" applyFont="1" applyBorder="1" applyProtection="1">
      <protection locked="0"/>
    </xf>
    <xf numFmtId="0" fontId="6" fillId="0" borderId="0" xfId="0" applyFont="1" applyBorder="1" applyProtection="1">
      <protection locked="0"/>
    </xf>
    <xf numFmtId="0" fontId="8" fillId="0" borderId="13" xfId="0" applyFont="1" applyBorder="1"/>
    <xf numFmtId="10" fontId="20" fillId="0" borderId="14" xfId="0" applyNumberFormat="1" applyFont="1" applyFill="1" applyBorder="1"/>
    <xf numFmtId="0" fontId="0" fillId="0" borderId="15" xfId="0" applyBorder="1"/>
    <xf numFmtId="0" fontId="4" fillId="0" borderId="16" xfId="0" applyFont="1" applyBorder="1"/>
    <xf numFmtId="3" fontId="1" fillId="0" borderId="0" xfId="2" applyNumberFormat="1"/>
    <xf numFmtId="10" fontId="1" fillId="0" borderId="0" xfId="2" applyNumberFormat="1"/>
    <xf numFmtId="3" fontId="9" fillId="0" borderId="0" xfId="2" applyNumberFormat="1" applyFont="1"/>
    <xf numFmtId="3" fontId="2" fillId="0" borderId="0" xfId="2" applyNumberFormat="1" applyFont="1"/>
    <xf numFmtId="3" fontId="1" fillId="0" borderId="3" xfId="2" applyNumberFormat="1" applyBorder="1"/>
    <xf numFmtId="10" fontId="1" fillId="0" borderId="3" xfId="2" applyNumberFormat="1" applyBorder="1"/>
    <xf numFmtId="3" fontId="4" fillId="0" borderId="17" xfId="2" applyNumberFormat="1" applyFont="1" applyBorder="1" applyAlignment="1">
      <alignment vertical="center" wrapText="1"/>
    </xf>
    <xf numFmtId="3" fontId="4" fillId="0" borderId="10" xfId="2" applyNumberFormat="1" applyFont="1" applyBorder="1" applyAlignment="1">
      <alignment vertical="center" wrapText="1"/>
    </xf>
    <xf numFmtId="3" fontId="4" fillId="0" borderId="18" xfId="2" applyNumberFormat="1" applyFont="1" applyBorder="1" applyAlignment="1">
      <alignment vertical="center" wrapText="1"/>
    </xf>
    <xf numFmtId="3" fontId="4" fillId="0" borderId="17" xfId="2" applyNumberFormat="1" applyFont="1" applyBorder="1" applyAlignment="1">
      <alignment horizontal="left" vertical="center" wrapText="1"/>
    </xf>
    <xf numFmtId="3" fontId="12" fillId="0" borderId="19" xfId="2" applyNumberFormat="1" applyFont="1" applyBorder="1" applyAlignment="1">
      <alignment horizontal="center" vertical="center" wrapText="1"/>
    </xf>
    <xf numFmtId="3" fontId="12" fillId="0" borderId="5" xfId="2" applyNumberFormat="1" applyFont="1" applyBorder="1" applyAlignment="1">
      <alignment horizontal="center" vertical="center" wrapText="1"/>
    </xf>
    <xf numFmtId="3" fontId="12" fillId="0" borderId="20" xfId="2" applyNumberFormat="1" applyFont="1" applyFill="1" applyBorder="1" applyAlignment="1">
      <alignment horizontal="center" vertical="center" wrapText="1"/>
    </xf>
    <xf numFmtId="3" fontId="12" fillId="0" borderId="5" xfId="2" applyNumberFormat="1" applyFont="1" applyFill="1" applyBorder="1" applyAlignment="1">
      <alignment horizontal="center" vertical="center" wrapText="1"/>
    </xf>
    <xf numFmtId="3" fontId="12" fillId="0" borderId="12" xfId="2" applyNumberFormat="1" applyFont="1" applyBorder="1" applyAlignment="1">
      <alignment horizontal="center" vertical="center" wrapText="1"/>
    </xf>
    <xf numFmtId="3" fontId="12" fillId="0" borderId="21" xfId="2" applyNumberFormat="1" applyFont="1" applyBorder="1" applyAlignment="1">
      <alignment horizontal="center" vertical="center" wrapText="1"/>
    </xf>
    <xf numFmtId="49" fontId="9" fillId="3" borderId="22" xfId="2" applyNumberFormat="1" applyFont="1" applyFill="1" applyBorder="1" applyAlignment="1">
      <alignment horizontal="center" vertical="center"/>
    </xf>
    <xf numFmtId="49" fontId="9" fillId="3" borderId="23" xfId="2" applyNumberFormat="1" applyFont="1" applyFill="1" applyBorder="1" applyAlignment="1">
      <alignment horizontal="center" vertical="center"/>
    </xf>
    <xf numFmtId="10" fontId="9" fillId="3" borderId="24" xfId="2" applyNumberFormat="1" applyFont="1" applyFill="1" applyBorder="1" applyAlignment="1">
      <alignment horizontal="center" vertical="center"/>
    </xf>
    <xf numFmtId="3" fontId="12" fillId="0" borderId="0" xfId="2" applyNumberFormat="1" applyFont="1" applyBorder="1" applyAlignment="1">
      <alignment vertical="center"/>
    </xf>
    <xf numFmtId="10" fontId="12" fillId="0" borderId="25" xfId="2" applyNumberFormat="1" applyFont="1" applyBorder="1" applyAlignment="1">
      <alignment vertical="center"/>
    </xf>
    <xf numFmtId="10" fontId="9" fillId="0" borderId="9" xfId="2" applyNumberFormat="1" applyFont="1" applyBorder="1" applyAlignment="1">
      <alignment vertical="center"/>
    </xf>
    <xf numFmtId="10" fontId="21" fillId="0" borderId="26" xfId="2" applyNumberFormat="1" applyFont="1" applyBorder="1" applyAlignment="1">
      <alignment vertical="center"/>
    </xf>
    <xf numFmtId="3" fontId="9" fillId="0" borderId="3" xfId="2" applyNumberFormat="1" applyFont="1" applyBorder="1" applyAlignment="1">
      <alignment vertical="center"/>
    </xf>
    <xf numFmtId="3" fontId="9" fillId="0" borderId="27" xfId="2" applyNumberFormat="1" applyFont="1" applyBorder="1" applyAlignment="1">
      <alignment vertical="center"/>
    </xf>
    <xf numFmtId="3" fontId="11" fillId="0" borderId="7" xfId="2" applyNumberFormat="1" applyFont="1" applyBorder="1" applyAlignment="1">
      <alignment vertical="center"/>
    </xf>
    <xf numFmtId="3" fontId="11" fillId="0" borderId="8" xfId="2" applyNumberFormat="1" applyFont="1" applyBorder="1" applyAlignment="1">
      <alignment vertical="center"/>
    </xf>
    <xf numFmtId="0" fontId="22" fillId="0" borderId="19" xfId="0" applyFont="1" applyBorder="1"/>
    <xf numFmtId="0" fontId="22" fillId="0" borderId="19" xfId="0" applyFont="1" applyFill="1" applyBorder="1" applyAlignment="1">
      <alignment horizontal="left"/>
    </xf>
    <xf numFmtId="3" fontId="12" fillId="0" borderId="28" xfId="2" applyNumberFormat="1" applyFont="1" applyBorder="1" applyAlignment="1">
      <alignment horizontal="center" vertical="center" wrapText="1"/>
    </xf>
    <xf numFmtId="0" fontId="22" fillId="0" borderId="28" xfId="0" applyFont="1" applyBorder="1"/>
    <xf numFmtId="3" fontId="22" fillId="0" borderId="0" xfId="0" applyNumberFormat="1" applyFont="1" applyFill="1" applyBorder="1"/>
    <xf numFmtId="3" fontId="22" fillId="0" borderId="28" xfId="0" applyNumberFormat="1" applyFont="1" applyFill="1" applyBorder="1"/>
    <xf numFmtId="3" fontId="12" fillId="0" borderId="19" xfId="2" applyNumberFormat="1" applyFont="1" applyFill="1" applyBorder="1" applyAlignment="1">
      <alignment horizontal="center" vertical="center" wrapText="1"/>
    </xf>
    <xf numFmtId="0" fontId="23" fillId="0" borderId="19" xfId="0" applyFont="1" applyBorder="1"/>
    <xf numFmtId="0" fontId="23" fillId="0" borderId="19" xfId="0" applyFont="1" applyFill="1" applyBorder="1"/>
    <xf numFmtId="3" fontId="12" fillId="0" borderId="21" xfId="2" applyNumberFormat="1" applyFont="1" applyFill="1" applyBorder="1" applyAlignment="1">
      <alignment horizontal="center" vertical="center" wrapText="1"/>
    </xf>
    <xf numFmtId="0" fontId="23" fillId="0" borderId="0" xfId="0" applyFont="1" applyFill="1" applyBorder="1"/>
    <xf numFmtId="0" fontId="23" fillId="0" borderId="0" xfId="0" applyFont="1" applyBorder="1"/>
    <xf numFmtId="0" fontId="9" fillId="0" borderId="23" xfId="2" applyNumberFormat="1" applyFont="1" applyFill="1" applyBorder="1" applyAlignment="1">
      <alignment horizontal="center" vertical="center"/>
    </xf>
    <xf numFmtId="3" fontId="12" fillId="0" borderId="0" xfId="2" applyNumberFormat="1" applyFont="1" applyBorder="1" applyAlignment="1">
      <alignment vertical="center" wrapText="1"/>
    </xf>
    <xf numFmtId="3" fontId="24" fillId="0" borderId="0" xfId="0" applyNumberFormat="1" applyFont="1" applyFill="1" applyBorder="1"/>
    <xf numFmtId="3" fontId="24" fillId="4" borderId="0" xfId="0" applyNumberFormat="1" applyFont="1" applyFill="1" applyBorder="1"/>
    <xf numFmtId="3" fontId="25" fillId="0" borderId="0" xfId="0" applyNumberFormat="1" applyFont="1" applyFill="1" applyBorder="1"/>
    <xf numFmtId="3" fontId="2" fillId="0" borderId="8" xfId="2" applyNumberFormat="1" applyFont="1" applyBorder="1" applyAlignment="1">
      <alignment horizontal="left" vertical="center" wrapText="1" indent="3"/>
    </xf>
    <xf numFmtId="3" fontId="25" fillId="0" borderId="0" xfId="0" applyNumberFormat="1" applyFont="1" applyBorder="1"/>
    <xf numFmtId="3" fontId="2" fillId="0" borderId="8" xfId="2" applyNumberFormat="1" applyFont="1" applyBorder="1" applyAlignment="1">
      <alignment horizontal="center" vertical="center" wrapText="1"/>
    </xf>
    <xf numFmtId="3" fontId="9" fillId="0" borderId="3" xfId="2" applyNumberFormat="1" applyFont="1" applyBorder="1" applyAlignment="1">
      <alignment horizontal="center" vertical="center" wrapText="1"/>
    </xf>
    <xf numFmtId="3" fontId="12" fillId="0" borderId="0" xfId="2" applyNumberFormat="1" applyFont="1" applyBorder="1" applyAlignment="1">
      <alignment horizontal="left" vertical="center" wrapText="1"/>
    </xf>
    <xf numFmtId="3" fontId="24" fillId="0" borderId="0" xfId="0" applyNumberFormat="1" applyFont="1" applyBorder="1"/>
    <xf numFmtId="3" fontId="24" fillId="0" borderId="0" xfId="2" applyNumberFormat="1" applyFont="1" applyBorder="1" applyAlignment="1">
      <alignment vertical="center" wrapText="1"/>
    </xf>
    <xf numFmtId="3" fontId="24" fillId="0" borderId="0" xfId="0" applyNumberFormat="1" applyFont="1" applyFill="1" applyBorder="1" applyAlignment="1"/>
    <xf numFmtId="3" fontId="25" fillId="0" borderId="0" xfId="2" applyNumberFormat="1" applyFont="1" applyBorder="1" applyAlignment="1">
      <alignment vertical="center" wrapText="1"/>
    </xf>
    <xf numFmtId="3" fontId="1" fillId="0" borderId="0" xfId="2" applyNumberFormat="1" applyBorder="1"/>
    <xf numFmtId="3" fontId="6" fillId="0" borderId="0" xfId="2" applyNumberFormat="1" applyFont="1" applyBorder="1" applyAlignment="1">
      <alignment horizontal="center" vertical="center" wrapText="1"/>
    </xf>
    <xf numFmtId="3" fontId="9" fillId="0" borderId="0" xfId="2" applyNumberFormat="1" applyFont="1" applyBorder="1" applyAlignment="1">
      <alignment horizontal="center" vertical="center" wrapText="1"/>
    </xf>
    <xf numFmtId="3" fontId="9" fillId="0" borderId="0" xfId="2" applyNumberFormat="1" applyFont="1" applyBorder="1" applyAlignment="1">
      <alignment vertical="center"/>
    </xf>
    <xf numFmtId="10" fontId="21" fillId="0" borderId="0" xfId="2" applyNumberFormat="1" applyFont="1" applyBorder="1" applyAlignment="1">
      <alignment vertical="center"/>
    </xf>
    <xf numFmtId="3" fontId="2" fillId="0" borderId="0" xfId="2" applyNumberFormat="1" applyFont="1" applyBorder="1"/>
    <xf numFmtId="10" fontId="10" fillId="0" borderId="9" xfId="0" applyNumberFormat="1" applyFont="1" applyFill="1" applyBorder="1"/>
    <xf numFmtId="10" fontId="10" fillId="0" borderId="14" xfId="0" applyNumberFormat="1" applyFont="1" applyFill="1" applyBorder="1"/>
    <xf numFmtId="10" fontId="15" fillId="0" borderId="29" xfId="0" applyNumberFormat="1" applyFont="1" applyFill="1" applyBorder="1"/>
    <xf numFmtId="14" fontId="6" fillId="2" borderId="30" xfId="0" applyNumberFormat="1" applyFont="1" applyFill="1" applyBorder="1" applyAlignment="1" applyProtection="1">
      <alignment horizontal="center" vertical="center"/>
    </xf>
    <xf numFmtId="14" fontId="6" fillId="2" borderId="31" xfId="0" applyNumberFormat="1" applyFont="1" applyFill="1" applyBorder="1" applyAlignment="1" applyProtection="1">
      <alignment horizontal="center" vertical="center"/>
    </xf>
    <xf numFmtId="14" fontId="6" fillId="2" borderId="4" xfId="0" applyNumberFormat="1" applyFont="1" applyFill="1" applyBorder="1" applyAlignment="1" applyProtection="1">
      <alignment horizontal="center" vertical="center"/>
    </xf>
    <xf numFmtId="0" fontId="9" fillId="2" borderId="32"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horizontal="center" vertical="center"/>
    </xf>
    <xf numFmtId="164" fontId="9" fillId="2" borderId="32" xfId="0" applyNumberFormat="1" applyFont="1" applyFill="1" applyBorder="1" applyAlignment="1" applyProtection="1">
      <alignment horizontal="center" vertical="center"/>
    </xf>
    <xf numFmtId="3" fontId="10" fillId="0" borderId="33" xfId="0" applyNumberFormat="1" applyFont="1" applyFill="1" applyBorder="1"/>
    <xf numFmtId="3" fontId="10" fillId="0" borderId="34" xfId="0" applyNumberFormat="1" applyFont="1" applyFill="1" applyBorder="1"/>
    <xf numFmtId="3" fontId="10" fillId="5" borderId="35" xfId="0" applyNumberFormat="1" applyFont="1" applyFill="1" applyBorder="1" applyProtection="1">
      <protection locked="0"/>
    </xf>
    <xf numFmtId="3" fontId="10" fillId="5" borderId="17" xfId="0" applyNumberFormat="1" applyFont="1" applyFill="1" applyBorder="1" applyProtection="1">
      <protection locked="0"/>
    </xf>
    <xf numFmtId="3" fontId="10" fillId="5" borderId="35" xfId="0" applyNumberFormat="1" applyFont="1" applyFill="1" applyBorder="1" applyAlignment="1" applyProtection="1">
      <alignment vertical="center"/>
      <protection locked="0"/>
    </xf>
    <xf numFmtId="3" fontId="10" fillId="5" borderId="34" xfId="0" applyNumberFormat="1" applyFont="1" applyFill="1" applyBorder="1" applyAlignment="1" applyProtection="1">
      <alignment vertical="center"/>
      <protection locked="0"/>
    </xf>
    <xf numFmtId="3" fontId="10" fillId="5" borderId="36" xfId="0" applyNumberFormat="1" applyFont="1" applyFill="1" applyBorder="1" applyAlignment="1" applyProtection="1">
      <alignment vertical="center"/>
      <protection locked="0"/>
    </xf>
    <xf numFmtId="3" fontId="8" fillId="0" borderId="37" xfId="0" applyNumberFormat="1" applyFont="1" applyFill="1" applyBorder="1" applyProtection="1">
      <protection locked="0"/>
    </xf>
    <xf numFmtId="0" fontId="8" fillId="0" borderId="38" xfId="0" applyFont="1" applyFill="1" applyBorder="1" applyProtection="1">
      <protection locked="0"/>
    </xf>
    <xf numFmtId="3" fontId="8" fillId="0" borderId="38" xfId="0" applyNumberFormat="1" applyFont="1" applyFill="1" applyBorder="1" applyProtection="1">
      <protection locked="0"/>
    </xf>
    <xf numFmtId="0" fontId="4" fillId="0" borderId="9" xfId="0" applyFont="1" applyFill="1" applyBorder="1"/>
    <xf numFmtId="0" fontId="4" fillId="0" borderId="25" xfId="0" applyFont="1" applyFill="1" applyBorder="1"/>
    <xf numFmtId="0" fontId="4" fillId="0" borderId="8" xfId="0" applyFont="1" applyBorder="1" applyProtection="1">
      <protection locked="0"/>
    </xf>
    <xf numFmtId="0" fontId="4" fillId="0" borderId="13" xfId="0" applyFont="1" applyFill="1" applyBorder="1" applyProtection="1">
      <protection locked="0"/>
    </xf>
    <xf numFmtId="3" fontId="4" fillId="0" borderId="37" xfId="0" applyNumberFormat="1" applyFont="1" applyFill="1" applyBorder="1" applyProtection="1">
      <protection locked="0"/>
    </xf>
    <xf numFmtId="3" fontId="4" fillId="0" borderId="38" xfId="0" applyNumberFormat="1" applyFont="1" applyFill="1" applyBorder="1" applyProtection="1">
      <protection locked="0"/>
    </xf>
    <xf numFmtId="3" fontId="22" fillId="0" borderId="0" xfId="0" applyNumberFormat="1" applyFont="1" applyFill="1" applyBorder="1" applyAlignment="1">
      <alignment horizontal="left"/>
    </xf>
    <xf numFmtId="0" fontId="1" fillId="0" borderId="0" xfId="3"/>
    <xf numFmtId="0" fontId="8" fillId="0" borderId="0" xfId="3" applyFont="1" applyBorder="1" applyAlignment="1">
      <alignment horizontal="center"/>
    </xf>
    <xf numFmtId="0" fontId="6" fillId="0" borderId="0" xfId="3" applyFont="1" applyBorder="1"/>
    <xf numFmtId="0" fontId="4" fillId="0" borderId="0" xfId="3" applyFont="1"/>
    <xf numFmtId="0" fontId="6" fillId="0" borderId="0" xfId="3" applyFont="1" applyBorder="1" applyAlignment="1">
      <alignment horizontal="center"/>
    </xf>
    <xf numFmtId="0" fontId="1" fillId="0" borderId="0" xfId="3" applyAlignment="1">
      <alignment horizontal="right"/>
    </xf>
    <xf numFmtId="0" fontId="3" fillId="2" borderId="32" xfId="3" applyFont="1" applyFill="1" applyBorder="1" applyAlignment="1">
      <alignment horizontal="center" wrapText="1"/>
    </xf>
    <xf numFmtId="0" fontId="3" fillId="0" borderId="39" xfId="3" applyFont="1" applyFill="1" applyBorder="1" applyAlignment="1">
      <alignment horizontal="center" vertical="center" wrapText="1"/>
    </xf>
    <xf numFmtId="3" fontId="9" fillId="0" borderId="40" xfId="3" applyNumberFormat="1" applyFont="1" applyFill="1" applyBorder="1" applyAlignment="1">
      <alignment vertical="center"/>
    </xf>
    <xf numFmtId="0" fontId="16" fillId="0" borderId="0" xfId="3" applyFont="1"/>
    <xf numFmtId="0" fontId="3" fillId="0" borderId="41" xfId="3" applyFont="1" applyFill="1" applyBorder="1" applyAlignment="1">
      <alignment wrapText="1"/>
    </xf>
    <xf numFmtId="3" fontId="9" fillId="0" borderId="41" xfId="3" applyNumberFormat="1" applyFont="1" applyBorder="1" applyAlignment="1">
      <alignment vertical="center"/>
    </xf>
    <xf numFmtId="3" fontId="9" fillId="0" borderId="0" xfId="3" applyNumberFormat="1" applyFont="1" applyBorder="1" applyAlignment="1">
      <alignment vertical="center"/>
    </xf>
    <xf numFmtId="0" fontId="12" fillId="0" borderId="0" xfId="3" applyFont="1"/>
    <xf numFmtId="0" fontId="27" fillId="0" borderId="0" xfId="3" applyFont="1" applyFill="1" applyBorder="1" applyAlignment="1">
      <alignment wrapText="1"/>
    </xf>
    <xf numFmtId="0" fontId="4" fillId="0" borderId="0" xfId="3" applyFont="1" applyBorder="1" applyAlignment="1"/>
    <xf numFmtId="0" fontId="4" fillId="2" borderId="31" xfId="3" applyFont="1" applyFill="1" applyBorder="1" applyAlignment="1">
      <alignment horizontal="center"/>
    </xf>
    <xf numFmtId="0" fontId="4" fillId="2" borderId="31" xfId="3" applyFont="1" applyFill="1" applyBorder="1" applyAlignment="1">
      <alignment horizontal="center" wrapText="1"/>
    </xf>
    <xf numFmtId="0" fontId="4" fillId="2" borderId="4" xfId="3" applyFont="1" applyFill="1" applyBorder="1" applyAlignment="1">
      <alignment horizontal="center" wrapText="1"/>
    </xf>
    <xf numFmtId="0" fontId="1" fillId="0" borderId="0" xfId="3" applyBorder="1"/>
    <xf numFmtId="0" fontId="3" fillId="2" borderId="2" xfId="3" applyFont="1" applyFill="1" applyBorder="1" applyAlignment="1">
      <alignment horizontal="center" wrapText="1"/>
    </xf>
    <xf numFmtId="0" fontId="1" fillId="0" borderId="0" xfId="3" applyFill="1" applyBorder="1" applyAlignment="1"/>
    <xf numFmtId="0" fontId="1" fillId="0" borderId="25" xfId="3" applyBorder="1"/>
    <xf numFmtId="3" fontId="9" fillId="0" borderId="42" xfId="3" applyNumberFormat="1" applyFont="1" applyFill="1" applyBorder="1" applyAlignment="1">
      <alignment vertical="center"/>
    </xf>
    <xf numFmtId="3" fontId="9" fillId="0" borderId="43" xfId="3" applyNumberFormat="1" applyFont="1" applyFill="1" applyBorder="1" applyAlignment="1">
      <alignment vertical="center"/>
    </xf>
    <xf numFmtId="0" fontId="1" fillId="2" borderId="31" xfId="3" applyFill="1" applyBorder="1" applyAlignment="1">
      <alignment horizontal="center"/>
    </xf>
    <xf numFmtId="0" fontId="1" fillId="2" borderId="4" xfId="3" applyFill="1" applyBorder="1" applyAlignment="1">
      <alignment horizontal="center"/>
    </xf>
    <xf numFmtId="0" fontId="28" fillId="0" borderId="0" xfId="3" applyFont="1" applyBorder="1" applyAlignment="1">
      <alignment horizontal="right"/>
    </xf>
    <xf numFmtId="0" fontId="29" fillId="0" borderId="0" xfId="3" applyFont="1" applyFill="1" applyBorder="1"/>
    <xf numFmtId="0" fontId="1" fillId="0" borderId="0" xfId="3" applyFont="1"/>
    <xf numFmtId="0" fontId="3" fillId="0" borderId="44" xfId="3" applyFont="1" applyBorder="1" applyAlignment="1">
      <alignment horizontal="right"/>
    </xf>
    <xf numFmtId="3" fontId="10" fillId="0" borderId="7" xfId="0" applyNumberFormat="1" applyFont="1" applyFill="1" applyBorder="1"/>
    <xf numFmtId="3" fontId="10" fillId="0" borderId="14" xfId="0" applyNumberFormat="1" applyFont="1" applyFill="1" applyBorder="1"/>
    <xf numFmtId="3" fontId="10" fillId="0" borderId="16" xfId="0" applyNumberFormat="1" applyFont="1" applyFill="1" applyBorder="1"/>
    <xf numFmtId="0" fontId="10" fillId="5" borderId="28" xfId="0" applyFont="1" applyFill="1" applyBorder="1" applyProtection="1">
      <protection locked="0"/>
    </xf>
    <xf numFmtId="3" fontId="10" fillId="5" borderId="18" xfId="0" applyNumberFormat="1" applyFont="1" applyFill="1" applyBorder="1" applyProtection="1">
      <protection locked="0"/>
    </xf>
    <xf numFmtId="3" fontId="10" fillId="0" borderId="45" xfId="0" applyNumberFormat="1" applyFont="1" applyFill="1" applyBorder="1"/>
    <xf numFmtId="10" fontId="10" fillId="0" borderId="45" xfId="0" applyNumberFormat="1" applyFont="1" applyFill="1" applyBorder="1"/>
    <xf numFmtId="10" fontId="10" fillId="0" borderId="34" xfId="0" applyNumberFormat="1" applyFont="1" applyFill="1" applyBorder="1"/>
    <xf numFmtId="10" fontId="10" fillId="0" borderId="33" xfId="0" applyNumberFormat="1" applyFont="1" applyFill="1" applyBorder="1"/>
    <xf numFmtId="0" fontId="11" fillId="0" borderId="11" xfId="0" applyFont="1" applyBorder="1"/>
    <xf numFmtId="3" fontId="10" fillId="5" borderId="14" xfId="0" applyNumberFormat="1" applyFont="1" applyFill="1" applyBorder="1" applyProtection="1">
      <protection locked="0"/>
    </xf>
    <xf numFmtId="0" fontId="10" fillId="5" borderId="5" xfId="3" applyFont="1" applyFill="1" applyBorder="1" applyProtection="1">
      <protection locked="0"/>
    </xf>
    <xf numFmtId="0" fontId="10" fillId="5" borderId="10" xfId="3" applyFont="1" applyFill="1" applyBorder="1" applyProtection="1">
      <protection locked="0"/>
    </xf>
    <xf numFmtId="3" fontId="10" fillId="5" borderId="10" xfId="3" applyNumberFormat="1" applyFont="1" applyFill="1" applyBorder="1" applyProtection="1">
      <protection locked="0"/>
    </xf>
    <xf numFmtId="0" fontId="10" fillId="5" borderId="46" xfId="3" applyFont="1" applyFill="1" applyBorder="1" applyProtection="1">
      <protection locked="0"/>
    </xf>
    <xf numFmtId="0" fontId="10" fillId="5" borderId="16" xfId="3" applyFont="1" applyFill="1" applyBorder="1" applyProtection="1">
      <protection locked="0"/>
    </xf>
    <xf numFmtId="3" fontId="10" fillId="5" borderId="16" xfId="3" applyNumberFormat="1" applyFont="1" applyFill="1" applyBorder="1" applyProtection="1">
      <protection locked="0"/>
    </xf>
    <xf numFmtId="3" fontId="10" fillId="0" borderId="16" xfId="3" applyNumberFormat="1" applyFont="1" applyFill="1" applyBorder="1"/>
    <xf numFmtId="3" fontId="10" fillId="0" borderId="18" xfId="3" applyNumberFormat="1" applyFont="1" applyFill="1" applyBorder="1"/>
    <xf numFmtId="3" fontId="10" fillId="0" borderId="47" xfId="3" applyNumberFormat="1" applyFont="1" applyFill="1" applyBorder="1"/>
    <xf numFmtId="0" fontId="3" fillId="2" borderId="32" xfId="3" applyFont="1" applyFill="1" applyBorder="1" applyAlignment="1">
      <alignment horizontal="center" vertical="center" wrapText="1"/>
    </xf>
    <xf numFmtId="0" fontId="1" fillId="0" borderId="0" xfId="3" applyAlignment="1">
      <alignment vertical="center"/>
    </xf>
    <xf numFmtId="0" fontId="10" fillId="5" borderId="48" xfId="3" applyFont="1" applyFill="1" applyBorder="1" applyProtection="1">
      <protection locked="0"/>
    </xf>
    <xf numFmtId="0" fontId="10" fillId="5" borderId="49" xfId="3" applyFont="1" applyFill="1" applyBorder="1" applyProtection="1">
      <protection locked="0"/>
    </xf>
    <xf numFmtId="0" fontId="18" fillId="0" borderId="19" xfId="0" applyFont="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6" fillId="0" borderId="0" xfId="0" applyFont="1" applyBorder="1" applyAlignment="1" applyProtection="1">
      <alignment vertical="center"/>
    </xf>
    <xf numFmtId="0" fontId="8" fillId="0" borderId="0" xfId="0" applyFont="1" applyBorder="1" applyAlignment="1" applyProtection="1">
      <alignment vertical="center"/>
    </xf>
    <xf numFmtId="0" fontId="6" fillId="0" borderId="1" xfId="0" applyFont="1" applyBorder="1" applyAlignment="1" applyProtection="1">
      <alignment horizontal="center"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2" borderId="50" xfId="0" applyFont="1" applyFill="1" applyBorder="1" applyAlignment="1" applyProtection="1">
      <alignment horizontal="center" vertical="center"/>
    </xf>
    <xf numFmtId="3" fontId="10" fillId="0" borderId="35" xfId="0" applyNumberFormat="1" applyFont="1" applyFill="1" applyBorder="1" applyAlignment="1" applyProtection="1">
      <alignment vertical="center"/>
    </xf>
    <xf numFmtId="3" fontId="10" fillId="0" borderId="34" xfId="0" applyNumberFormat="1" applyFont="1" applyFill="1" applyBorder="1" applyAlignment="1" applyProtection="1">
      <alignment vertical="center"/>
    </xf>
    <xf numFmtId="3" fontId="3" fillId="0" borderId="28" xfId="0" applyNumberFormat="1" applyFont="1" applyBorder="1" applyAlignment="1" applyProtection="1">
      <alignment vertical="center"/>
    </xf>
    <xf numFmtId="3" fontId="0" fillId="0" borderId="0" xfId="0" applyNumberFormat="1" applyBorder="1" applyAlignment="1" applyProtection="1">
      <alignment vertical="center"/>
    </xf>
    <xf numFmtId="3" fontId="0" fillId="0" borderId="0" xfId="0" applyNumberFormat="1" applyAlignment="1" applyProtection="1">
      <alignment vertical="center"/>
    </xf>
    <xf numFmtId="0" fontId="4" fillId="0" borderId="19" xfId="0" applyFont="1" applyBorder="1" applyAlignment="1" applyProtection="1">
      <alignment vertical="center"/>
    </xf>
    <xf numFmtId="3" fontId="9" fillId="0" borderId="35" xfId="0" applyNumberFormat="1" applyFont="1" applyFill="1" applyBorder="1" applyAlignment="1" applyProtection="1">
      <alignment vertical="center"/>
    </xf>
    <xf numFmtId="3" fontId="9" fillId="0" borderId="34" xfId="0" applyNumberFormat="1" applyFont="1" applyFill="1" applyBorder="1" applyAlignment="1" applyProtection="1">
      <alignment vertical="center"/>
    </xf>
    <xf numFmtId="3" fontId="4" fillId="0" borderId="28" xfId="0" applyNumberFormat="1" applyFont="1" applyBorder="1" applyAlignment="1" applyProtection="1">
      <alignment vertical="center"/>
    </xf>
    <xf numFmtId="3" fontId="4" fillId="0" borderId="0" xfId="0" applyNumberFormat="1" applyFont="1" applyAlignment="1" applyProtection="1">
      <alignment vertical="center"/>
    </xf>
    <xf numFmtId="0" fontId="4" fillId="0" borderId="19" xfId="0" applyFont="1" applyFill="1" applyBorder="1" applyAlignment="1" applyProtection="1">
      <alignment vertical="center"/>
    </xf>
    <xf numFmtId="3" fontId="4" fillId="0" borderId="19" xfId="0" applyNumberFormat="1" applyFont="1" applyBorder="1" applyAlignment="1" applyProtection="1">
      <alignment vertical="center"/>
    </xf>
    <xf numFmtId="0" fontId="18" fillId="0" borderId="19" xfId="0" applyFont="1" applyFill="1" applyBorder="1" applyAlignment="1" applyProtection="1">
      <alignment vertical="center"/>
    </xf>
    <xf numFmtId="3" fontId="6" fillId="0" borderId="19" xfId="0" applyNumberFormat="1" applyFont="1" applyBorder="1" applyAlignment="1" applyProtection="1">
      <alignment vertical="center"/>
    </xf>
    <xf numFmtId="0" fontId="12" fillId="0" borderId="0" xfId="0" applyFont="1" applyAlignment="1" applyProtection="1">
      <alignment vertical="center"/>
    </xf>
    <xf numFmtId="0" fontId="3" fillId="0" borderId="19" xfId="0" applyFont="1" applyBorder="1" applyAlignment="1" applyProtection="1">
      <alignment vertical="center"/>
    </xf>
    <xf numFmtId="0" fontId="6" fillId="0" borderId="19" xfId="0" applyFont="1" applyBorder="1" applyAlignment="1" applyProtection="1">
      <alignment vertical="center"/>
    </xf>
    <xf numFmtId="0" fontId="4" fillId="0" borderId="28" xfId="0" applyFont="1" applyBorder="1" applyAlignment="1" applyProtection="1">
      <alignment vertical="center"/>
    </xf>
    <xf numFmtId="0" fontId="4" fillId="0" borderId="28" xfId="0" applyFont="1" applyFill="1" applyBorder="1" applyAlignment="1" applyProtection="1">
      <alignment vertical="center"/>
    </xf>
    <xf numFmtId="3" fontId="6" fillId="0" borderId="28" xfId="0" applyNumberFormat="1" applyFont="1" applyBorder="1" applyAlignment="1" applyProtection="1">
      <alignment vertical="center"/>
    </xf>
    <xf numFmtId="0" fontId="1" fillId="0" borderId="0" xfId="0" applyFont="1" applyAlignment="1" applyProtection="1">
      <alignment vertical="center"/>
    </xf>
    <xf numFmtId="0" fontId="10" fillId="0" borderId="0" xfId="0" applyFont="1" applyAlignment="1" applyProtection="1">
      <alignment vertical="center"/>
    </xf>
    <xf numFmtId="0" fontId="10" fillId="0" borderId="0" xfId="0" applyFont="1" applyBorder="1" applyAlignment="1" applyProtection="1">
      <alignment vertical="center"/>
    </xf>
    <xf numFmtId="0" fontId="18" fillId="0" borderId="28" xfId="0" applyFont="1" applyBorder="1" applyAlignment="1" applyProtection="1">
      <alignment vertical="center"/>
    </xf>
    <xf numFmtId="0" fontId="18" fillId="0" borderId="28" xfId="0" applyFont="1" applyFill="1" applyBorder="1" applyAlignment="1" applyProtection="1">
      <alignment vertical="center"/>
    </xf>
    <xf numFmtId="3" fontId="18" fillId="0" borderId="28" xfId="0" applyNumberFormat="1" applyFont="1" applyBorder="1" applyAlignment="1" applyProtection="1">
      <alignment vertical="center"/>
    </xf>
    <xf numFmtId="3" fontId="18" fillId="0" borderId="19" xfId="0" applyNumberFormat="1" applyFont="1" applyBorder="1" applyAlignment="1" applyProtection="1">
      <alignment vertical="center"/>
    </xf>
    <xf numFmtId="3" fontId="4" fillId="0" borderId="28" xfId="0" applyNumberFormat="1" applyFont="1" applyFill="1" applyBorder="1" applyAlignment="1" applyProtection="1">
      <alignment vertical="center"/>
    </xf>
    <xf numFmtId="3" fontId="18" fillId="0" borderId="0" xfId="0" applyNumberFormat="1" applyFont="1" applyBorder="1" applyAlignment="1" applyProtection="1">
      <alignment vertical="center"/>
    </xf>
    <xf numFmtId="3" fontId="4" fillId="0" borderId="0" xfId="0" applyNumberFormat="1" applyFont="1" applyBorder="1" applyAlignment="1" applyProtection="1">
      <alignment vertical="center"/>
    </xf>
    <xf numFmtId="0" fontId="3" fillId="0" borderId="28" xfId="0" applyFont="1" applyFill="1" applyBorder="1" applyAlignment="1" applyProtection="1">
      <alignment vertical="center"/>
    </xf>
    <xf numFmtId="0" fontId="6" fillId="0" borderId="39" xfId="0" applyFont="1" applyFill="1" applyBorder="1" applyAlignment="1" applyProtection="1">
      <alignment vertical="center"/>
    </xf>
    <xf numFmtId="3" fontId="9" fillId="0" borderId="44" xfId="0" applyNumberFormat="1" applyFont="1" applyFill="1" applyBorder="1" applyAlignment="1" applyProtection="1">
      <alignment vertical="center"/>
    </xf>
    <xf numFmtId="0" fontId="6" fillId="0" borderId="39" xfId="0" applyFont="1" applyBorder="1" applyAlignment="1" applyProtection="1">
      <alignment vertical="center"/>
    </xf>
    <xf numFmtId="0" fontId="6" fillId="2" borderId="51" xfId="0" applyFont="1" applyFill="1" applyBorder="1" applyAlignment="1" applyProtection="1">
      <alignment horizontal="center" vertical="center"/>
    </xf>
    <xf numFmtId="0" fontId="6" fillId="2" borderId="52" xfId="0" applyFont="1" applyFill="1" applyBorder="1" applyAlignment="1" applyProtection="1">
      <alignment horizontal="center" vertical="center"/>
    </xf>
    <xf numFmtId="0" fontId="0" fillId="0" borderId="53" xfId="0" applyBorder="1" applyAlignment="1" applyProtection="1">
      <alignment vertical="center"/>
    </xf>
    <xf numFmtId="0" fontId="0" fillId="0" borderId="0" xfId="0" applyAlignment="1" applyProtection="1">
      <alignment vertical="center"/>
      <protection locked="0"/>
    </xf>
    <xf numFmtId="0" fontId="0" fillId="0" borderId="0" xfId="0" applyBorder="1" applyAlignment="1" applyProtection="1">
      <alignment vertical="center"/>
      <protection locked="0"/>
    </xf>
    <xf numFmtId="0" fontId="6"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3" fontId="10" fillId="0" borderId="54" xfId="0" applyNumberFormat="1" applyFont="1" applyFill="1" applyBorder="1" applyAlignment="1" applyProtection="1">
      <alignment vertical="center"/>
    </xf>
    <xf numFmtId="3" fontId="10" fillId="0" borderId="55" xfId="0" applyNumberFormat="1" applyFont="1" applyFill="1" applyBorder="1" applyAlignment="1" applyProtection="1">
      <alignment vertical="center"/>
    </xf>
    <xf numFmtId="0" fontId="1" fillId="0" borderId="0" xfId="0" applyFont="1" applyFill="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6" fillId="0" borderId="19" xfId="0" applyFont="1" applyFill="1" applyBorder="1" applyAlignment="1" applyProtection="1">
      <alignment horizontal="center" vertical="center"/>
    </xf>
    <xf numFmtId="3" fontId="10" fillId="0" borderId="56" xfId="0" applyNumberFormat="1" applyFont="1" applyFill="1" applyBorder="1" applyAlignment="1" applyProtection="1">
      <alignment vertical="center"/>
    </xf>
    <xf numFmtId="3" fontId="10" fillId="5" borderId="56" xfId="0" applyNumberFormat="1" applyFont="1" applyFill="1" applyBorder="1" applyAlignment="1" applyProtection="1">
      <alignment vertical="center"/>
      <protection locked="0"/>
    </xf>
    <xf numFmtId="0" fontId="17"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5" fillId="0" borderId="0" xfId="0" applyFont="1" applyAlignment="1" applyProtection="1">
      <alignment vertical="center"/>
    </xf>
    <xf numFmtId="0" fontId="5" fillId="0" borderId="0" xfId="0" applyFont="1" applyFill="1" applyBorder="1" applyAlignment="1" applyProtection="1">
      <alignment vertical="center"/>
    </xf>
    <xf numFmtId="0" fontId="2" fillId="0" borderId="0" xfId="0" applyFont="1" applyAlignment="1" applyProtection="1">
      <alignment vertical="center"/>
    </xf>
    <xf numFmtId="0" fontId="19" fillId="0" borderId="19" xfId="0" applyFont="1" applyBorder="1" applyAlignment="1" applyProtection="1">
      <alignment vertical="center"/>
    </xf>
    <xf numFmtId="0" fontId="19" fillId="0" borderId="19" xfId="0" applyFont="1" applyFill="1" applyBorder="1" applyAlignment="1" applyProtection="1">
      <alignment horizontal="left" vertical="center"/>
    </xf>
    <xf numFmtId="0" fontId="19" fillId="0" borderId="28" xfId="0" applyFont="1" applyBorder="1" applyAlignment="1" applyProtection="1">
      <alignment vertical="center"/>
    </xf>
    <xf numFmtId="3" fontId="10" fillId="0" borderId="17" xfId="0" applyNumberFormat="1" applyFont="1" applyFill="1" applyBorder="1" applyAlignment="1" applyProtection="1">
      <alignment horizontal="center" vertical="center"/>
    </xf>
    <xf numFmtId="3" fontId="10" fillId="0" borderId="55" xfId="0" applyNumberFormat="1" applyFont="1" applyFill="1" applyBorder="1" applyAlignment="1" applyProtection="1">
      <alignment horizontal="center" vertical="center"/>
    </xf>
    <xf numFmtId="3" fontId="10" fillId="0" borderId="17" xfId="0" applyNumberFormat="1" applyFont="1" applyFill="1" applyBorder="1" applyAlignment="1" applyProtection="1">
      <alignment vertical="center"/>
    </xf>
    <xf numFmtId="3" fontId="10" fillId="5" borderId="17" xfId="0" applyNumberFormat="1" applyFont="1" applyFill="1" applyBorder="1" applyAlignment="1" applyProtection="1">
      <alignment vertical="center"/>
      <protection locked="0"/>
    </xf>
    <xf numFmtId="3" fontId="10" fillId="0" borderId="57" xfId="0" applyNumberFormat="1" applyFont="1" applyFill="1" applyBorder="1" applyAlignment="1" applyProtection="1">
      <alignment vertical="center"/>
    </xf>
    <xf numFmtId="3" fontId="10" fillId="5" borderId="58" xfId="0" applyNumberFormat="1" applyFont="1" applyFill="1" applyBorder="1" applyAlignment="1" applyProtection="1">
      <alignment vertical="center"/>
      <protection locked="0"/>
    </xf>
    <xf numFmtId="3" fontId="10" fillId="5" borderId="59" xfId="0" applyNumberFormat="1" applyFont="1" applyFill="1" applyBorder="1" applyAlignment="1" applyProtection="1">
      <alignment vertical="center"/>
      <protection locked="0"/>
    </xf>
    <xf numFmtId="0" fontId="18" fillId="0" borderId="11" xfId="0" applyFont="1" applyFill="1" applyBorder="1" applyAlignment="1" applyProtection="1">
      <alignment vertical="center"/>
    </xf>
    <xf numFmtId="3" fontId="11" fillId="0" borderId="16" xfId="0" applyNumberFormat="1" applyFont="1" applyFill="1" applyBorder="1" applyAlignment="1" applyProtection="1">
      <alignment vertical="center"/>
    </xf>
    <xf numFmtId="3" fontId="11" fillId="0" borderId="14" xfId="0" applyNumberFormat="1" applyFont="1" applyFill="1" applyBorder="1" applyAlignment="1" applyProtection="1">
      <alignment vertical="center"/>
    </xf>
    <xf numFmtId="0" fontId="18" fillId="0" borderId="12" xfId="0" applyFont="1" applyFill="1" applyBorder="1" applyAlignment="1" applyProtection="1">
      <alignment vertical="center"/>
    </xf>
    <xf numFmtId="0" fontId="8" fillId="0" borderId="60" xfId="0" applyFont="1" applyFill="1" applyBorder="1" applyAlignment="1" applyProtection="1">
      <alignment vertical="center"/>
    </xf>
    <xf numFmtId="0" fontId="19" fillId="0" borderId="28" xfId="0" applyFont="1" applyFill="1" applyBorder="1" applyAlignment="1" applyProtection="1">
      <alignment vertical="center"/>
    </xf>
    <xf numFmtId="3" fontId="10" fillId="0" borderId="61" xfId="0" applyNumberFormat="1" applyFont="1" applyFill="1" applyBorder="1" applyAlignment="1" applyProtection="1">
      <alignment vertical="center"/>
    </xf>
    <xf numFmtId="3" fontId="10" fillId="5" borderId="61" xfId="0" applyNumberFormat="1" applyFont="1" applyFill="1" applyBorder="1" applyAlignment="1" applyProtection="1">
      <alignment vertical="center"/>
      <protection locked="0"/>
    </xf>
    <xf numFmtId="0" fontId="19" fillId="0" borderId="12" xfId="0" applyFont="1" applyFill="1" applyBorder="1" applyAlignment="1" applyProtection="1">
      <alignment vertical="center"/>
    </xf>
    <xf numFmtId="0" fontId="6" fillId="0" borderId="28" xfId="0" applyFont="1" applyFill="1" applyBorder="1" applyAlignment="1" applyProtection="1">
      <alignment vertical="center"/>
    </xf>
    <xf numFmtId="3" fontId="9" fillId="0" borderId="62" xfId="0" applyNumberFormat="1" applyFont="1" applyFill="1" applyBorder="1" applyAlignment="1" applyProtection="1">
      <alignment vertical="center"/>
    </xf>
    <xf numFmtId="3" fontId="9" fillId="0" borderId="63" xfId="0" applyNumberFormat="1" applyFont="1" applyFill="1" applyBorder="1" applyAlignment="1" applyProtection="1">
      <alignment vertical="center"/>
    </xf>
    <xf numFmtId="0" fontId="0" fillId="0" borderId="0" xfId="0" applyFill="1" applyAlignment="1" applyProtection="1">
      <alignment vertical="center"/>
    </xf>
    <xf numFmtId="0" fontId="4" fillId="5" borderId="19" xfId="0" applyFont="1" applyFill="1" applyBorder="1" applyAlignment="1" applyProtection="1">
      <alignment vertical="center"/>
      <protection locked="0"/>
    </xf>
    <xf numFmtId="3" fontId="10" fillId="0" borderId="64" xfId="0" applyNumberFormat="1" applyFont="1" applyFill="1" applyBorder="1" applyAlignment="1" applyProtection="1">
      <alignment vertical="center"/>
    </xf>
    <xf numFmtId="0" fontId="6" fillId="0" borderId="28" xfId="0" applyFont="1" applyBorder="1" applyAlignment="1" applyProtection="1">
      <alignment vertical="center"/>
    </xf>
    <xf numFmtId="0" fontId="18" fillId="0" borderId="46" xfId="0" applyFont="1" applyBorder="1" applyAlignment="1" applyProtection="1">
      <alignment vertical="center"/>
    </xf>
    <xf numFmtId="0" fontId="13" fillId="0" borderId="11" xfId="0" applyFont="1" applyBorder="1" applyAlignment="1" applyProtection="1">
      <alignment vertical="center" wrapText="1"/>
    </xf>
    <xf numFmtId="0" fontId="6" fillId="0" borderId="11" xfId="0" applyFont="1" applyBorder="1" applyAlignment="1" applyProtection="1">
      <alignment vertical="center"/>
    </xf>
    <xf numFmtId="0" fontId="19" fillId="0" borderId="65" xfId="0" applyFont="1" applyBorder="1" applyAlignment="1" applyProtection="1">
      <alignment vertical="center"/>
    </xf>
    <xf numFmtId="3" fontId="10" fillId="5" borderId="66" xfId="0" applyNumberFormat="1" applyFont="1" applyFill="1" applyBorder="1" applyAlignment="1" applyProtection="1">
      <alignment vertical="center"/>
      <protection locked="0"/>
    </xf>
    <xf numFmtId="3" fontId="11" fillId="5" borderId="16" xfId="0" applyNumberFormat="1" applyFont="1" applyFill="1" applyBorder="1" applyAlignment="1" applyProtection="1">
      <alignment vertical="center"/>
      <protection locked="0"/>
    </xf>
    <xf numFmtId="3" fontId="11" fillId="5" borderId="14" xfId="0" applyNumberFormat="1" applyFont="1" applyFill="1" applyBorder="1" applyAlignment="1" applyProtection="1">
      <alignment vertical="center"/>
      <protection locked="0"/>
    </xf>
    <xf numFmtId="3" fontId="10" fillId="0" borderId="67" xfId="0" applyNumberFormat="1" applyFont="1" applyFill="1" applyBorder="1" applyAlignment="1" applyProtection="1">
      <alignment vertical="center"/>
    </xf>
    <xf numFmtId="3" fontId="10" fillId="0" borderId="58" xfId="0" applyNumberFormat="1" applyFont="1" applyFill="1" applyBorder="1" applyAlignment="1" applyProtection="1">
      <alignment vertical="center"/>
    </xf>
    <xf numFmtId="3" fontId="10" fillId="0" borderId="59" xfId="0" applyNumberFormat="1" applyFont="1" applyFill="1" applyBorder="1" applyAlignment="1" applyProtection="1">
      <alignment vertical="center"/>
    </xf>
    <xf numFmtId="3" fontId="21" fillId="0" borderId="16" xfId="0" applyNumberFormat="1" applyFont="1" applyFill="1" applyBorder="1" applyAlignment="1" applyProtection="1">
      <alignment vertical="center"/>
    </xf>
    <xf numFmtId="3" fontId="21" fillId="0" borderId="14" xfId="0" applyNumberFormat="1" applyFont="1" applyFill="1" applyBorder="1" applyAlignment="1" applyProtection="1">
      <alignment vertical="center"/>
    </xf>
    <xf numFmtId="0" fontId="0" fillId="0" borderId="68" xfId="0" applyBorder="1" applyAlignment="1" applyProtection="1">
      <alignment vertical="center"/>
      <protection locked="0"/>
    </xf>
    <xf numFmtId="0" fontId="0" fillId="0" borderId="69" xfId="0" applyBorder="1" applyAlignment="1" applyProtection="1">
      <alignment vertical="center"/>
      <protection locked="0"/>
    </xf>
    <xf numFmtId="0" fontId="26" fillId="6" borderId="57" xfId="0" applyFont="1" applyFill="1" applyBorder="1"/>
    <xf numFmtId="0" fontId="23" fillId="0" borderId="28" xfId="0" applyFont="1" applyFill="1" applyBorder="1"/>
    <xf numFmtId="0" fontId="23" fillId="0" borderId="57" xfId="0" applyFont="1" applyBorder="1"/>
    <xf numFmtId="3" fontId="26" fillId="6" borderId="0" xfId="0" applyNumberFormat="1" applyFont="1" applyFill="1" applyBorder="1"/>
    <xf numFmtId="3" fontId="10" fillId="0" borderId="70" xfId="0" applyNumberFormat="1" applyFont="1" applyFill="1" applyBorder="1" applyAlignment="1" applyProtection="1">
      <alignment vertical="center"/>
    </xf>
    <xf numFmtId="3" fontId="10" fillId="0" borderId="69" xfId="0" applyNumberFormat="1" applyFont="1" applyFill="1" applyBorder="1" applyAlignment="1" applyProtection="1">
      <alignment vertical="center"/>
    </xf>
    <xf numFmtId="0" fontId="0" fillId="0" borderId="35" xfId="0" applyBorder="1" applyAlignment="1" applyProtection="1">
      <alignment vertical="center"/>
    </xf>
    <xf numFmtId="0" fontId="0" fillId="0" borderId="34" xfId="0" applyBorder="1" applyAlignment="1" applyProtection="1">
      <alignment vertical="center"/>
    </xf>
    <xf numFmtId="0" fontId="11" fillId="0" borderId="0" xfId="0" applyFont="1" applyAlignment="1" applyProtection="1">
      <alignment vertical="center"/>
    </xf>
    <xf numFmtId="0" fontId="31" fillId="0" borderId="47" xfId="0" applyFont="1" applyBorder="1" applyAlignment="1" applyProtection="1">
      <alignment vertical="center"/>
    </xf>
    <xf numFmtId="0" fontId="10" fillId="0" borderId="71" xfId="0" applyFont="1" applyBorder="1" applyAlignment="1" applyProtection="1">
      <alignment vertical="center"/>
    </xf>
    <xf numFmtId="0" fontId="10" fillId="0" borderId="72" xfId="0" applyFont="1" applyBorder="1" applyAlignment="1" applyProtection="1">
      <alignment vertical="center"/>
    </xf>
    <xf numFmtId="0" fontId="31" fillId="0" borderId="73" xfId="0" applyFont="1" applyBorder="1" applyAlignment="1" applyProtection="1">
      <alignment vertical="center"/>
    </xf>
    <xf numFmtId="0" fontId="31" fillId="0" borderId="74" xfId="0" applyFont="1" applyBorder="1" applyAlignment="1" applyProtection="1">
      <alignment vertical="center"/>
    </xf>
    <xf numFmtId="0" fontId="0" fillId="0" borderId="0" xfId="0" applyProtection="1"/>
    <xf numFmtId="0" fontId="6" fillId="0" borderId="0" xfId="0" applyFont="1" applyBorder="1" applyProtection="1"/>
    <xf numFmtId="0" fontId="8" fillId="0" borderId="0" xfId="0" applyFont="1" applyBorder="1" applyProtection="1"/>
    <xf numFmtId="0" fontId="6" fillId="0" borderId="1" xfId="0" applyFont="1" applyBorder="1" applyAlignment="1" applyProtection="1">
      <alignment horizontal="center"/>
    </xf>
    <xf numFmtId="0" fontId="6" fillId="0" borderId="0" xfId="0" applyFont="1" applyProtection="1"/>
    <xf numFmtId="0" fontId="0" fillId="0" borderId="0" xfId="0" applyBorder="1" applyProtection="1"/>
    <xf numFmtId="0" fontId="6" fillId="2" borderId="31" xfId="0" applyFont="1" applyFill="1" applyBorder="1" applyAlignment="1" applyProtection="1">
      <alignment horizontal="center"/>
    </xf>
    <xf numFmtId="0" fontId="6" fillId="2" borderId="4" xfId="0" applyFont="1" applyFill="1" applyBorder="1" applyAlignment="1" applyProtection="1">
      <alignment horizontal="center"/>
    </xf>
    <xf numFmtId="1" fontId="6" fillId="2" borderId="32" xfId="0" applyNumberFormat="1" applyFont="1" applyFill="1" applyBorder="1" applyAlignment="1" applyProtection="1">
      <alignment horizontal="center"/>
    </xf>
    <xf numFmtId="0" fontId="6" fillId="2" borderId="32" xfId="0" applyFont="1" applyFill="1" applyBorder="1" applyAlignment="1" applyProtection="1">
      <alignment horizontal="center"/>
    </xf>
    <xf numFmtId="0" fontId="6" fillId="2" borderId="2" xfId="0" applyFont="1" applyFill="1" applyBorder="1" applyAlignment="1" applyProtection="1">
      <alignment horizontal="center"/>
    </xf>
    <xf numFmtId="0" fontId="6" fillId="7" borderId="19" xfId="0" applyFont="1" applyFill="1" applyBorder="1" applyAlignment="1" applyProtection="1">
      <alignment horizontal="center"/>
    </xf>
    <xf numFmtId="0" fontId="6" fillId="7" borderId="0" xfId="0" applyFont="1" applyFill="1" applyBorder="1" applyAlignment="1" applyProtection="1">
      <alignment horizontal="center"/>
    </xf>
    <xf numFmtId="0" fontId="6" fillId="0" borderId="19" xfId="0" applyFont="1" applyBorder="1" applyProtection="1"/>
    <xf numFmtId="3" fontId="9" fillId="0" borderId="35" xfId="0" applyNumberFormat="1" applyFont="1" applyFill="1" applyBorder="1" applyProtection="1"/>
    <xf numFmtId="3" fontId="9" fillId="5" borderId="35" xfId="0" applyNumberFormat="1" applyFont="1" applyFill="1" applyBorder="1" applyProtection="1">
      <protection locked="0"/>
    </xf>
    <xf numFmtId="0" fontId="6" fillId="0" borderId="57" xfId="0" applyFont="1" applyBorder="1" applyProtection="1"/>
    <xf numFmtId="3" fontId="9" fillId="0" borderId="34" xfId="0" applyNumberFormat="1" applyFont="1" applyFill="1" applyBorder="1" applyProtection="1"/>
    <xf numFmtId="0" fontId="4" fillId="0" borderId="0" xfId="0" applyFont="1" applyBorder="1" applyProtection="1"/>
    <xf numFmtId="3" fontId="10" fillId="0" borderId="35" xfId="0" applyNumberFormat="1" applyFont="1" applyFill="1" applyBorder="1" applyProtection="1"/>
    <xf numFmtId="3" fontId="10" fillId="0" borderId="34" xfId="0" applyNumberFormat="1" applyFont="1" applyFill="1" applyBorder="1" applyProtection="1"/>
    <xf numFmtId="3" fontId="10" fillId="5" borderId="34" xfId="0" applyNumberFormat="1" applyFont="1" applyFill="1" applyBorder="1" applyProtection="1">
      <protection locked="0"/>
    </xf>
    <xf numFmtId="0" fontId="4" fillId="0" borderId="19" xfId="0" applyFont="1" applyBorder="1" applyProtection="1"/>
    <xf numFmtId="3" fontId="0" fillId="0" borderId="0" xfId="0" applyNumberFormat="1" applyProtection="1"/>
    <xf numFmtId="0" fontId="4" fillId="0" borderId="19" xfId="0" applyFont="1" applyFill="1" applyBorder="1" applyProtection="1"/>
    <xf numFmtId="0" fontId="4" fillId="0" borderId="0" xfId="0" applyFont="1" applyFill="1" applyBorder="1" applyProtection="1"/>
    <xf numFmtId="0" fontId="4" fillId="0" borderId="28" xfId="0" applyFont="1" applyBorder="1" applyProtection="1"/>
    <xf numFmtId="0" fontId="4" fillId="0" borderId="28" xfId="0" applyFont="1" applyFill="1" applyBorder="1" applyProtection="1"/>
    <xf numFmtId="0" fontId="6" fillId="0" borderId="28" xfId="0" applyFont="1" applyFill="1" applyBorder="1" applyProtection="1"/>
    <xf numFmtId="0" fontId="6" fillId="0" borderId="19" xfId="0" applyFont="1" applyFill="1" applyBorder="1" applyProtection="1"/>
    <xf numFmtId="0" fontId="8" fillId="0" borderId="75" xfId="0" applyFont="1" applyFill="1" applyBorder="1" applyProtection="1"/>
    <xf numFmtId="3" fontId="9" fillId="0" borderId="76" xfId="0" applyNumberFormat="1" applyFont="1" applyFill="1" applyBorder="1" applyProtection="1"/>
    <xf numFmtId="0" fontId="8" fillId="0" borderId="77" xfId="0" applyFont="1" applyBorder="1" applyProtection="1"/>
    <xf numFmtId="3" fontId="9" fillId="0" borderId="78" xfId="0" applyNumberFormat="1" applyFont="1" applyFill="1" applyBorder="1" applyProtection="1"/>
    <xf numFmtId="0" fontId="3" fillId="0" borderId="28" xfId="0" applyFont="1" applyFill="1" applyBorder="1" applyProtection="1"/>
    <xf numFmtId="3" fontId="1" fillId="0" borderId="17" xfId="0" applyNumberFormat="1" applyFont="1" applyFill="1" applyBorder="1" applyProtection="1"/>
    <xf numFmtId="0" fontId="3" fillId="0" borderId="0" xfId="0" applyFont="1" applyBorder="1" applyProtection="1"/>
    <xf numFmtId="3" fontId="1" fillId="0" borderId="61" xfId="0" applyNumberFormat="1" applyFont="1" applyFill="1" applyBorder="1" applyProtection="1"/>
    <xf numFmtId="0" fontId="6" fillId="0" borderId="79" xfId="0" applyFont="1" applyFill="1" applyBorder="1" applyProtection="1"/>
    <xf numFmtId="3" fontId="21" fillId="0" borderId="80" xfId="0" applyNumberFormat="1" applyFont="1" applyFill="1" applyBorder="1" applyProtection="1"/>
    <xf numFmtId="0" fontId="6" fillId="0" borderId="3" xfId="0" applyFont="1" applyBorder="1" applyProtection="1"/>
    <xf numFmtId="3" fontId="21" fillId="0" borderId="81" xfId="0" applyNumberFormat="1" applyFont="1" applyFill="1" applyBorder="1" applyProtection="1"/>
    <xf numFmtId="0" fontId="32" fillId="0" borderId="0" xfId="0" applyFont="1" applyProtection="1"/>
    <xf numFmtId="3" fontId="18" fillId="0" borderId="17" xfId="0" applyNumberFormat="1" applyFont="1" applyFill="1" applyBorder="1" applyAlignment="1" applyProtection="1">
      <alignment horizontal="center"/>
    </xf>
    <xf numFmtId="3" fontId="11" fillId="0" borderId="35" xfId="0" applyNumberFormat="1" applyFont="1" applyFill="1" applyBorder="1" applyProtection="1"/>
    <xf numFmtId="3" fontId="33" fillId="0" borderId="35" xfId="0" applyNumberFormat="1" applyFont="1" applyFill="1" applyBorder="1" applyProtection="1"/>
    <xf numFmtId="3" fontId="33" fillId="0" borderId="82" xfId="0" applyNumberFormat="1" applyFont="1" applyFill="1" applyBorder="1" applyProtection="1"/>
    <xf numFmtId="3" fontId="33" fillId="0" borderId="32" xfId="0" applyNumberFormat="1" applyFont="1" applyFill="1" applyBorder="1" applyProtection="1"/>
    <xf numFmtId="3" fontId="18" fillId="7" borderId="73" xfId="0" applyNumberFormat="1" applyFont="1" applyFill="1" applyBorder="1" applyAlignment="1" applyProtection="1">
      <alignment horizontal="center"/>
    </xf>
    <xf numFmtId="3" fontId="18" fillId="7" borderId="55" xfId="0" applyNumberFormat="1" applyFont="1" applyFill="1" applyBorder="1" applyAlignment="1" applyProtection="1">
      <alignment horizontal="center"/>
    </xf>
    <xf numFmtId="3" fontId="11" fillId="0" borderId="34" xfId="0" applyNumberFormat="1" applyFont="1" applyFill="1" applyBorder="1" applyProtection="1"/>
    <xf numFmtId="3" fontId="33" fillId="0" borderId="17" xfId="0" applyNumberFormat="1" applyFont="1" applyFill="1" applyBorder="1" applyProtection="1"/>
    <xf numFmtId="3" fontId="33" fillId="0" borderId="61" xfId="0" applyNumberFormat="1" applyFont="1" applyFill="1" applyBorder="1" applyProtection="1"/>
    <xf numFmtId="3" fontId="10" fillId="0" borderId="68" xfId="0" applyNumberFormat="1" applyFont="1" applyFill="1" applyBorder="1" applyAlignment="1" applyProtection="1">
      <alignment vertical="center"/>
    </xf>
    <xf numFmtId="0" fontId="22" fillId="0" borderId="57" xfId="0" applyFont="1" applyBorder="1"/>
    <xf numFmtId="0" fontId="22" fillId="0" borderId="19" xfId="0" applyFont="1" applyFill="1" applyBorder="1"/>
    <xf numFmtId="0" fontId="22" fillId="0" borderId="19" xfId="0" applyFont="1" applyBorder="1" applyAlignment="1" applyProtection="1">
      <alignment vertical="center"/>
    </xf>
    <xf numFmtId="3" fontId="34" fillId="0" borderId="19" xfId="0" applyNumberFormat="1" applyFont="1" applyBorder="1"/>
    <xf numFmtId="0" fontId="3" fillId="2" borderId="17" xfId="0" applyFont="1" applyFill="1" applyBorder="1" applyAlignment="1">
      <alignment horizontal="center" vertical="center"/>
    </xf>
    <xf numFmtId="0" fontId="3" fillId="2" borderId="51" xfId="0" applyFont="1" applyFill="1" applyBorder="1" applyAlignment="1">
      <alignment horizontal="center" vertical="center"/>
    </xf>
    <xf numFmtId="3" fontId="10" fillId="5" borderId="83" xfId="3" applyNumberFormat="1" applyFont="1" applyFill="1" applyBorder="1" applyProtection="1">
      <protection locked="0"/>
    </xf>
    <xf numFmtId="3" fontId="10" fillId="5" borderId="33" xfId="3" applyNumberFormat="1" applyFont="1" applyFill="1" applyBorder="1" applyProtection="1">
      <protection locked="0"/>
    </xf>
    <xf numFmtId="3" fontId="10" fillId="0" borderId="16" xfId="3" applyNumberFormat="1" applyFont="1" applyFill="1" applyBorder="1" applyAlignment="1"/>
    <xf numFmtId="3" fontId="10" fillId="5" borderId="7" xfId="3" applyNumberFormat="1" applyFont="1" applyFill="1" applyBorder="1" applyProtection="1">
      <protection locked="0"/>
    </xf>
    <xf numFmtId="3" fontId="10" fillId="5" borderId="14" xfId="3" applyNumberFormat="1" applyFont="1" applyFill="1" applyBorder="1" applyProtection="1">
      <protection locked="0"/>
    </xf>
    <xf numFmtId="3" fontId="10" fillId="0" borderId="84" xfId="3" applyNumberFormat="1" applyFont="1" applyFill="1" applyBorder="1" applyAlignment="1"/>
    <xf numFmtId="3" fontId="10" fillId="0" borderId="85" xfId="3" applyNumberFormat="1" applyFont="1" applyBorder="1"/>
    <xf numFmtId="3" fontId="9" fillId="0" borderId="86" xfId="3" applyNumberFormat="1" applyFont="1" applyBorder="1" applyAlignment="1">
      <alignment vertical="center"/>
    </xf>
    <xf numFmtId="3" fontId="9" fillId="0" borderId="40" xfId="3" applyNumberFormat="1" applyFont="1" applyBorder="1" applyAlignment="1">
      <alignment vertical="center"/>
    </xf>
    <xf numFmtId="3" fontId="9" fillId="0" borderId="87" xfId="3" applyNumberFormat="1" applyFont="1" applyBorder="1" applyAlignment="1">
      <alignment vertical="center"/>
    </xf>
    <xf numFmtId="3" fontId="10" fillId="0" borderId="14" xfId="3" applyNumberFormat="1" applyFont="1" applyFill="1" applyBorder="1" applyAlignment="1"/>
    <xf numFmtId="3" fontId="10" fillId="0" borderId="85" xfId="3" applyNumberFormat="1" applyFont="1" applyFill="1" applyBorder="1" applyAlignment="1"/>
    <xf numFmtId="3" fontId="1" fillId="0" borderId="0" xfId="3" applyNumberFormat="1"/>
    <xf numFmtId="3" fontId="10" fillId="5" borderId="49" xfId="3" applyNumberFormat="1" applyFont="1" applyFill="1" applyBorder="1" applyProtection="1">
      <protection locked="0"/>
    </xf>
    <xf numFmtId="3" fontId="10" fillId="5" borderId="74" xfId="3" applyNumberFormat="1" applyFont="1" applyFill="1" applyBorder="1" applyProtection="1">
      <protection locked="0"/>
    </xf>
    <xf numFmtId="3" fontId="9" fillId="0" borderId="44" xfId="3" applyNumberFormat="1" applyFont="1" applyFill="1" applyBorder="1"/>
    <xf numFmtId="3" fontId="9" fillId="0" borderId="39" xfId="3" applyNumberFormat="1" applyFont="1" applyFill="1" applyBorder="1"/>
    <xf numFmtId="3" fontId="9" fillId="0" borderId="43" xfId="3" applyNumberFormat="1" applyFont="1" applyFill="1" applyBorder="1"/>
    <xf numFmtId="3" fontId="9" fillId="0" borderId="87" xfId="3" applyNumberFormat="1" applyFont="1" applyBorder="1"/>
    <xf numFmtId="3" fontId="1" fillId="0" borderId="0" xfId="3" applyNumberFormat="1" applyFont="1"/>
    <xf numFmtId="3" fontId="9" fillId="0" borderId="44" xfId="3" applyNumberFormat="1" applyFont="1" applyBorder="1"/>
    <xf numFmtId="3" fontId="36" fillId="0" borderId="0" xfId="3" applyNumberFormat="1" applyFont="1" applyAlignment="1">
      <alignment vertical="center"/>
    </xf>
    <xf numFmtId="3" fontId="35" fillId="0" borderId="0" xfId="3" applyNumberFormat="1" applyFont="1"/>
    <xf numFmtId="3" fontId="37" fillId="0" borderId="0" xfId="3" applyNumberFormat="1" applyFont="1"/>
    <xf numFmtId="0" fontId="24" fillId="0" borderId="0" xfId="3" applyFont="1" applyAlignment="1">
      <alignment wrapText="1"/>
    </xf>
    <xf numFmtId="3" fontId="10" fillId="0" borderId="0" xfId="0" applyNumberFormat="1" applyFont="1" applyBorder="1" applyAlignment="1" applyProtection="1">
      <alignment vertical="center"/>
    </xf>
    <xf numFmtId="3" fontId="10" fillId="6" borderId="0" xfId="0" applyNumberFormat="1" applyFont="1" applyFill="1" applyBorder="1" applyAlignment="1" applyProtection="1">
      <alignment vertical="center"/>
    </xf>
    <xf numFmtId="3" fontId="10" fillId="6" borderId="0" xfId="0" applyNumberFormat="1" applyFont="1" applyFill="1" applyAlignment="1" applyProtection="1">
      <alignmen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73" xfId="0" applyFont="1" applyBorder="1" applyAlignment="1" applyProtection="1">
      <alignment vertical="center"/>
    </xf>
    <xf numFmtId="0" fontId="1" fillId="0" borderId="0" xfId="0" applyFont="1" applyBorder="1" applyAlignment="1" applyProtection="1">
      <alignment vertical="center"/>
    </xf>
    <xf numFmtId="0" fontId="1" fillId="0" borderId="57" xfId="0" applyFont="1" applyBorder="1" applyAlignment="1" applyProtection="1">
      <alignment horizontal="center" vertical="center"/>
    </xf>
    <xf numFmtId="0" fontId="1" fillId="0" borderId="73" xfId="0" applyFont="1" applyBorder="1" applyAlignment="1" applyProtection="1">
      <alignment horizontal="right" vertical="center"/>
    </xf>
    <xf numFmtId="3" fontId="10" fillId="0" borderId="57" xfId="0" applyNumberFormat="1" applyFont="1" applyBorder="1" applyAlignment="1" applyProtection="1">
      <alignment vertical="center"/>
    </xf>
    <xf numFmtId="0" fontId="1" fillId="0" borderId="74" xfId="0" applyFont="1" applyBorder="1" applyAlignment="1" applyProtection="1">
      <alignment horizontal="right" vertical="center"/>
    </xf>
    <xf numFmtId="3" fontId="10" fillId="0" borderId="88" xfId="0" applyNumberFormat="1" applyFont="1" applyBorder="1" applyAlignment="1" applyProtection="1">
      <alignment vertical="center"/>
    </xf>
    <xf numFmtId="0" fontId="1" fillId="0" borderId="0" xfId="0" applyFont="1" applyBorder="1" applyAlignment="1" applyProtection="1">
      <alignment horizontal="center" vertical="center"/>
    </xf>
    <xf numFmtId="0" fontId="1" fillId="0" borderId="72" xfId="0" applyFont="1" applyBorder="1" applyAlignment="1" applyProtection="1">
      <alignment vertical="center"/>
    </xf>
    <xf numFmtId="0" fontId="10" fillId="8" borderId="57" xfId="0" applyFont="1" applyFill="1" applyBorder="1" applyAlignment="1" applyProtection="1">
      <alignment vertical="center"/>
    </xf>
    <xf numFmtId="0" fontId="10" fillId="8" borderId="6" xfId="0" applyFont="1" applyFill="1" applyBorder="1" applyAlignment="1" applyProtection="1">
      <alignment vertical="center"/>
    </xf>
    <xf numFmtId="0" fontId="10" fillId="8" borderId="0" xfId="0" applyFont="1" applyFill="1" applyBorder="1" applyAlignment="1" applyProtection="1">
      <alignment vertical="center"/>
    </xf>
    <xf numFmtId="0" fontId="10" fillId="8" borderId="88" xfId="0" applyFont="1" applyFill="1" applyBorder="1" applyAlignment="1" applyProtection="1">
      <alignment vertical="center"/>
    </xf>
    <xf numFmtId="3" fontId="31" fillId="6" borderId="0" xfId="0" applyNumberFormat="1" applyFont="1" applyFill="1" applyBorder="1" applyAlignment="1" applyProtection="1">
      <alignment vertical="center"/>
    </xf>
    <xf numFmtId="3" fontId="31" fillId="6" borderId="0" xfId="0" applyNumberFormat="1" applyFont="1" applyFill="1" applyAlignment="1" applyProtection="1">
      <alignment vertical="center"/>
    </xf>
    <xf numFmtId="0" fontId="0" fillId="0" borderId="35" xfId="0" applyBorder="1" applyProtection="1"/>
    <xf numFmtId="0" fontId="0" fillId="0" borderId="34" xfId="0" applyBorder="1" applyProtection="1"/>
    <xf numFmtId="4" fontId="0" fillId="0" borderId="0" xfId="0" applyNumberFormat="1" applyAlignment="1" applyProtection="1">
      <alignment vertical="center"/>
    </xf>
    <xf numFmtId="3" fontId="10" fillId="0" borderId="89" xfId="0" applyNumberFormat="1" applyFont="1" applyFill="1" applyBorder="1" applyAlignment="1" applyProtection="1">
      <alignment vertical="center"/>
    </xf>
    <xf numFmtId="3" fontId="10" fillId="0" borderId="90" xfId="0" applyNumberFormat="1" applyFont="1" applyFill="1" applyBorder="1" applyAlignment="1" applyProtection="1">
      <alignment vertical="center"/>
    </xf>
    <xf numFmtId="0" fontId="3" fillId="0" borderId="91" xfId="0" applyFont="1" applyFill="1" applyBorder="1" applyProtection="1"/>
    <xf numFmtId="3" fontId="10" fillId="0" borderId="35" xfId="0" applyNumberFormat="1" applyFont="1" applyBorder="1" applyProtection="1"/>
    <xf numFmtId="3" fontId="10" fillId="0" borderId="34" xfId="0" applyNumberFormat="1" applyFont="1" applyBorder="1" applyProtection="1"/>
    <xf numFmtId="3" fontId="10" fillId="0" borderId="92" xfId="0" applyNumberFormat="1" applyFont="1" applyBorder="1" applyAlignment="1" applyProtection="1">
      <alignment vertical="center"/>
    </xf>
    <xf numFmtId="3" fontId="10" fillId="5" borderId="93" xfId="0" applyNumberFormat="1" applyFont="1" applyFill="1" applyBorder="1" applyAlignment="1" applyProtection="1">
      <alignment vertical="center"/>
      <protection locked="0"/>
    </xf>
    <xf numFmtId="3" fontId="10" fillId="0" borderId="35" xfId="0" applyNumberFormat="1" applyFont="1" applyFill="1" applyBorder="1" applyProtection="1">
      <protection locked="0"/>
    </xf>
    <xf numFmtId="3" fontId="10" fillId="0" borderId="34" xfId="0" applyNumberFormat="1" applyFont="1" applyFill="1" applyBorder="1" applyProtection="1">
      <protection locked="0"/>
    </xf>
    <xf numFmtId="0" fontId="0" fillId="0" borderId="0" xfId="0" applyFill="1"/>
    <xf numFmtId="0" fontId="12" fillId="0" borderId="0" xfId="0" applyFont="1"/>
    <xf numFmtId="4" fontId="0" fillId="0" borderId="0" xfId="0" applyNumberFormat="1" applyBorder="1" applyAlignment="1" applyProtection="1">
      <alignment horizontal="left" vertical="center"/>
    </xf>
    <xf numFmtId="4" fontId="0" fillId="0" borderId="57" xfId="0" applyNumberFormat="1" applyBorder="1" applyAlignment="1" applyProtection="1">
      <alignment horizontal="left" vertical="center"/>
    </xf>
    <xf numFmtId="0" fontId="39" fillId="0" borderId="0" xfId="0" applyFont="1" applyAlignment="1">
      <alignment horizontal="center"/>
    </xf>
    <xf numFmtId="0" fontId="40" fillId="0" borderId="0" xfId="0" applyFont="1" applyAlignment="1">
      <alignment horizontal="justify"/>
    </xf>
    <xf numFmtId="0" fontId="41" fillId="0" borderId="0" xfId="0" applyFont="1" applyAlignment="1">
      <alignment horizontal="justify"/>
    </xf>
    <xf numFmtId="3" fontId="9" fillId="0" borderId="85" xfId="0" applyNumberFormat="1" applyFont="1" applyFill="1" applyBorder="1"/>
    <xf numFmtId="3" fontId="10" fillId="0" borderId="0" xfId="0" applyNumberFormat="1" applyFont="1" applyFill="1" applyBorder="1"/>
    <xf numFmtId="0" fontId="25" fillId="0" borderId="47" xfId="0" applyFont="1" applyBorder="1"/>
    <xf numFmtId="0" fontId="25" fillId="0" borderId="71" xfId="0" applyFont="1" applyBorder="1"/>
    <xf numFmtId="0" fontId="25" fillId="0" borderId="72" xfId="0" applyFont="1" applyBorder="1"/>
    <xf numFmtId="0" fontId="25" fillId="0" borderId="74" xfId="0" applyFont="1" applyBorder="1"/>
    <xf numFmtId="0" fontId="25" fillId="0" borderId="88" xfId="0" applyFont="1" applyBorder="1"/>
    <xf numFmtId="0" fontId="25" fillId="0" borderId="6" xfId="0" applyFont="1" applyBorder="1"/>
    <xf numFmtId="3" fontId="10" fillId="0" borderId="66" xfId="0" applyNumberFormat="1" applyFont="1" applyFill="1" applyBorder="1" applyAlignment="1" applyProtection="1">
      <alignment vertical="center"/>
    </xf>
    <xf numFmtId="4" fontId="1" fillId="0" borderId="0" xfId="0" applyNumberFormat="1" applyFont="1" applyAlignment="1" applyProtection="1">
      <alignment horizontal="left" vertical="center" wrapText="1"/>
    </xf>
    <xf numFmtId="3" fontId="10" fillId="0" borderId="0" xfId="0" applyNumberFormat="1" applyFont="1" applyAlignment="1" applyProtection="1">
      <alignment vertical="center"/>
    </xf>
    <xf numFmtId="3" fontId="11" fillId="0" borderId="0" xfId="0" applyNumberFormat="1" applyFont="1" applyBorder="1" applyAlignment="1" applyProtection="1">
      <alignment vertical="center"/>
    </xf>
    <xf numFmtId="3" fontId="11" fillId="0" borderId="0" xfId="0" applyNumberFormat="1" applyFont="1" applyBorder="1" applyAlignment="1" applyProtection="1">
      <alignment horizontal="center" vertical="center"/>
    </xf>
    <xf numFmtId="3" fontId="11" fillId="0" borderId="0" xfId="0" applyNumberFormat="1" applyFont="1" applyAlignment="1" applyProtection="1">
      <alignment horizontal="center" vertical="center"/>
    </xf>
    <xf numFmtId="3" fontId="10" fillId="0" borderId="6" xfId="0" applyNumberFormat="1" applyFont="1" applyBorder="1" applyAlignment="1" applyProtection="1">
      <alignment vertical="center"/>
    </xf>
    <xf numFmtId="3" fontId="10" fillId="0" borderId="72" xfId="0" applyNumberFormat="1" applyFont="1" applyBorder="1" applyAlignment="1" applyProtection="1">
      <alignment vertical="center"/>
    </xf>
    <xf numFmtId="3" fontId="10" fillId="0" borderId="71" xfId="0" applyNumberFormat="1" applyFont="1" applyBorder="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xf>
    <xf numFmtId="0" fontId="31" fillId="0" borderId="0" xfId="0" applyFont="1" applyBorder="1" applyAlignment="1" applyProtection="1">
      <alignment vertical="center"/>
    </xf>
    <xf numFmtId="0" fontId="31" fillId="0" borderId="88" xfId="0" applyFont="1" applyBorder="1" applyAlignment="1" applyProtection="1">
      <alignment vertical="center"/>
    </xf>
    <xf numFmtId="0" fontId="31" fillId="0" borderId="6" xfId="0" applyFont="1" applyBorder="1" applyAlignment="1" applyProtection="1">
      <alignment vertical="center"/>
    </xf>
    <xf numFmtId="0" fontId="31" fillId="0" borderId="57" xfId="0" applyFont="1" applyBorder="1" applyAlignment="1" applyProtection="1">
      <alignment vertical="center"/>
    </xf>
    <xf numFmtId="0" fontId="0" fillId="0" borderId="47" xfId="0" applyBorder="1" applyAlignment="1">
      <alignment horizontal="right"/>
    </xf>
    <xf numFmtId="0" fontId="19" fillId="0" borderId="73" xfId="0" applyFont="1" applyBorder="1" applyAlignment="1" applyProtection="1">
      <alignment horizontal="left" vertical="center"/>
    </xf>
    <xf numFmtId="0" fontId="19" fillId="0" borderId="73" xfId="0" applyFont="1" applyBorder="1" applyAlignment="1" applyProtection="1">
      <alignment vertical="center"/>
    </xf>
    <xf numFmtId="0" fontId="19" fillId="0" borderId="73" xfId="0" applyFont="1" applyFill="1" applyBorder="1" applyAlignment="1" applyProtection="1">
      <alignment vertical="center"/>
    </xf>
    <xf numFmtId="3" fontId="0" fillId="0" borderId="74" xfId="0" applyNumberFormat="1" applyBorder="1" applyAlignment="1">
      <alignment horizontal="right"/>
    </xf>
    <xf numFmtId="3" fontId="11" fillId="0" borderId="0" xfId="0" applyNumberFormat="1" applyFont="1" applyAlignment="1" applyProtection="1">
      <alignment vertical="center"/>
    </xf>
    <xf numFmtId="14" fontId="10" fillId="0" borderId="0" xfId="0" applyNumberFormat="1"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pplyProtection="1">
      <alignment horizontal="right" vertical="center"/>
    </xf>
    <xf numFmtId="0" fontId="19" fillId="2" borderId="31" xfId="3" applyFont="1" applyFill="1" applyBorder="1" applyAlignment="1">
      <alignment horizontal="center" vertical="center"/>
    </xf>
    <xf numFmtId="0" fontId="19" fillId="2" borderId="4" xfId="3" applyFont="1" applyFill="1" applyBorder="1" applyAlignment="1">
      <alignment horizontal="center" vertical="center"/>
    </xf>
    <xf numFmtId="0" fontId="18" fillId="2" borderId="17" xfId="3" applyFont="1" applyFill="1" applyBorder="1" applyAlignment="1">
      <alignment horizontal="center" vertical="center"/>
    </xf>
    <xf numFmtId="0" fontId="18" fillId="2" borderId="32" xfId="3" applyFont="1" applyFill="1" applyBorder="1" applyAlignment="1">
      <alignment horizontal="center" vertical="center" wrapText="1"/>
    </xf>
    <xf numFmtId="49" fontId="9" fillId="3" borderId="22" xfId="2" applyNumberFormat="1" applyFont="1" applyFill="1" applyBorder="1" applyAlignment="1">
      <alignment horizontal="center" vertical="center" wrapText="1"/>
    </xf>
    <xf numFmtId="3" fontId="42" fillId="0" borderId="0" xfId="0" applyNumberFormat="1" applyFont="1" applyBorder="1"/>
    <xf numFmtId="0" fontId="5" fillId="0" borderId="0" xfId="0" applyFont="1" applyFill="1" applyAlignment="1" applyProtection="1">
      <alignment vertical="center"/>
    </xf>
    <xf numFmtId="0" fontId="2" fillId="0" borderId="0" xfId="0" applyFont="1" applyFill="1" applyAlignment="1" applyProtection="1">
      <alignment vertical="center"/>
    </xf>
    <xf numFmtId="3" fontId="10" fillId="0" borderId="92" xfId="0" applyNumberFormat="1" applyFont="1" applyFill="1" applyBorder="1" applyAlignment="1" applyProtection="1">
      <alignment vertical="center"/>
    </xf>
    <xf numFmtId="3" fontId="10" fillId="0" borderId="94" xfId="0" applyNumberFormat="1" applyFont="1" applyFill="1" applyBorder="1" applyAlignment="1" applyProtection="1">
      <alignment vertical="center"/>
    </xf>
    <xf numFmtId="3" fontId="10" fillId="0" borderId="36" xfId="0" applyNumberFormat="1" applyFont="1" applyFill="1" applyBorder="1" applyAlignment="1" applyProtection="1">
      <alignment vertical="center"/>
    </xf>
    <xf numFmtId="3" fontId="18" fillId="0" borderId="73" xfId="0" applyNumberFormat="1" applyFont="1" applyFill="1" applyBorder="1" applyAlignment="1" applyProtection="1">
      <alignment horizontal="center"/>
    </xf>
    <xf numFmtId="0" fontId="0" fillId="0" borderId="35" xfId="0" applyFill="1" applyBorder="1" applyProtection="1"/>
    <xf numFmtId="0" fontId="0" fillId="0" borderId="35" xfId="0" applyFill="1" applyBorder="1" applyAlignment="1" applyProtection="1">
      <alignment vertical="center"/>
    </xf>
    <xf numFmtId="0" fontId="0" fillId="0" borderId="68" xfId="0" applyFill="1" applyBorder="1" applyAlignment="1" applyProtection="1">
      <alignment vertical="center"/>
    </xf>
    <xf numFmtId="3" fontId="10" fillId="0" borderId="15" xfId="0" applyNumberFormat="1" applyFont="1" applyBorder="1" applyAlignment="1" applyProtection="1">
      <alignment vertical="center"/>
    </xf>
    <xf numFmtId="3" fontId="15" fillId="0" borderId="56" xfId="0" applyNumberFormat="1" applyFont="1" applyFill="1" applyBorder="1" applyProtection="1"/>
    <xf numFmtId="3" fontId="15" fillId="5" borderId="56" xfId="0" applyNumberFormat="1" applyFont="1" applyFill="1" applyBorder="1" applyProtection="1">
      <protection locked="0"/>
    </xf>
    <xf numFmtId="3" fontId="15" fillId="5" borderId="35" xfId="0" applyNumberFormat="1" applyFont="1" applyFill="1" applyBorder="1" applyProtection="1">
      <protection locked="0"/>
    </xf>
    <xf numFmtId="0" fontId="18" fillId="0" borderId="0" xfId="3" applyFont="1"/>
    <xf numFmtId="0" fontId="40" fillId="0" borderId="0" xfId="1" applyFont="1" applyAlignment="1" applyProtection="1">
      <alignment horizontal="justify"/>
    </xf>
    <xf numFmtId="3" fontId="10" fillId="0" borderId="8" xfId="0" applyNumberFormat="1" applyFont="1" applyBorder="1" applyAlignment="1" applyProtection="1">
      <alignment vertical="center"/>
    </xf>
    <xf numFmtId="164" fontId="9" fillId="2" borderId="2" xfId="0" applyNumberFormat="1" applyFont="1" applyFill="1" applyBorder="1" applyAlignment="1" applyProtection="1">
      <alignment horizontal="center" vertical="center"/>
    </xf>
    <xf numFmtId="3" fontId="10" fillId="5" borderId="10" xfId="0" applyNumberFormat="1" applyFont="1" applyFill="1" applyBorder="1" applyProtection="1">
      <protection locked="0"/>
    </xf>
    <xf numFmtId="3" fontId="10" fillId="5" borderId="95" xfId="0" applyNumberFormat="1" applyFont="1" applyFill="1" applyBorder="1" applyProtection="1">
      <protection locked="0"/>
    </xf>
    <xf numFmtId="3" fontId="10" fillId="0" borderId="15" xfId="0" applyNumberFormat="1" applyFont="1" applyFill="1" applyBorder="1"/>
    <xf numFmtId="3" fontId="0" fillId="0" borderId="0" xfId="0" applyNumberFormat="1" applyAlignment="1" applyProtection="1">
      <alignment vertical="center"/>
      <protection locked="0"/>
    </xf>
    <xf numFmtId="3" fontId="0" fillId="6" borderId="0" xfId="0" applyNumberFormat="1" applyFill="1" applyAlignment="1" applyProtection="1">
      <alignment vertical="center"/>
      <protection locked="0"/>
    </xf>
    <xf numFmtId="3" fontId="0" fillId="6" borderId="0" xfId="0" applyNumberFormat="1" applyFill="1" applyAlignment="1" applyProtection="1">
      <alignment vertical="center"/>
    </xf>
    <xf numFmtId="0" fontId="4" fillId="0" borderId="71" xfId="3" applyFont="1" applyFill="1" applyBorder="1" applyAlignment="1">
      <alignment horizontal="center" vertical="center"/>
    </xf>
    <xf numFmtId="0" fontId="4" fillId="0" borderId="96" xfId="3" applyFont="1" applyFill="1" applyBorder="1" applyAlignment="1">
      <alignment horizontal="center" vertical="center"/>
    </xf>
    <xf numFmtId="0" fontId="10" fillId="5" borderId="18" xfId="3" applyFont="1" applyFill="1" applyBorder="1" applyProtection="1">
      <protection locked="0"/>
    </xf>
    <xf numFmtId="3" fontId="10" fillId="5" borderId="18" xfId="3" applyNumberFormat="1" applyFont="1" applyFill="1" applyBorder="1" applyProtection="1">
      <protection locked="0"/>
    </xf>
    <xf numFmtId="3" fontId="10" fillId="5" borderId="45" xfId="3" applyNumberFormat="1" applyFont="1" applyFill="1" applyBorder="1" applyProtection="1">
      <protection locked="0"/>
    </xf>
    <xf numFmtId="0" fontId="2" fillId="0" borderId="47" xfId="0" applyFont="1" applyBorder="1" applyAlignment="1" applyProtection="1">
      <alignment horizontal="right" vertical="center"/>
    </xf>
    <xf numFmtId="0" fontId="2" fillId="0" borderId="74" xfId="0" applyFont="1" applyBorder="1" applyAlignment="1" applyProtection="1">
      <alignment horizontal="right" vertical="center"/>
    </xf>
    <xf numFmtId="3" fontId="1" fillId="0" borderId="71" xfId="0" applyNumberFormat="1" applyFont="1" applyBorder="1" applyAlignment="1" applyProtection="1">
      <alignment vertical="center"/>
    </xf>
    <xf numFmtId="3" fontId="1" fillId="0" borderId="88" xfId="0" applyNumberFormat="1" applyFont="1" applyBorder="1" applyAlignment="1" applyProtection="1">
      <alignment vertical="center"/>
    </xf>
    <xf numFmtId="3" fontId="1" fillId="0" borderId="72" xfId="0" applyNumberFormat="1" applyFont="1" applyBorder="1" applyAlignment="1" applyProtection="1">
      <alignment vertical="center"/>
    </xf>
    <xf numFmtId="3" fontId="1" fillId="0" borderId="6" xfId="0" applyNumberFormat="1" applyFont="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14" fontId="10" fillId="5" borderId="10" xfId="3" applyNumberFormat="1" applyFont="1" applyFill="1" applyBorder="1" applyProtection="1">
      <protection locked="0"/>
    </xf>
    <xf numFmtId="14" fontId="10" fillId="5" borderId="16" xfId="3" applyNumberFormat="1" applyFont="1" applyFill="1" applyBorder="1" applyProtection="1">
      <protection locked="0"/>
    </xf>
    <xf numFmtId="3" fontId="43" fillId="5" borderId="16" xfId="3" applyNumberFormat="1" applyFont="1" applyFill="1" applyBorder="1" applyProtection="1">
      <protection locked="0"/>
    </xf>
    <xf numFmtId="3" fontId="43" fillId="5" borderId="7" xfId="3" applyNumberFormat="1" applyFont="1" applyFill="1" applyBorder="1" applyProtection="1">
      <protection locked="0"/>
    </xf>
    <xf numFmtId="3" fontId="11" fillId="0" borderId="0" xfId="3" applyNumberFormat="1" applyFont="1" applyFill="1" applyBorder="1"/>
    <xf numFmtId="0" fontId="18" fillId="0" borderId="0" xfId="3" applyFont="1" applyBorder="1" applyAlignment="1">
      <alignment horizontal="left"/>
    </xf>
    <xf numFmtId="0" fontId="11" fillId="0" borderId="0" xfId="3" applyFont="1" applyAlignment="1">
      <alignment wrapText="1"/>
    </xf>
    <xf numFmtId="0" fontId="11" fillId="0" borderId="0" xfId="3" applyFont="1"/>
    <xf numFmtId="3" fontId="11" fillId="0" borderId="0" xfId="3" applyNumberFormat="1" applyFont="1"/>
    <xf numFmtId="3" fontId="8" fillId="0" borderId="0" xfId="2" applyNumberFormat="1" applyFont="1" applyAlignment="1">
      <alignment horizontal="center"/>
    </xf>
    <xf numFmtId="3" fontId="3" fillId="0" borderId="11" xfId="2" applyNumberFormat="1" applyFont="1" applyBorder="1" applyAlignment="1">
      <alignment horizontal="left" vertical="center" wrapText="1" indent="3"/>
    </xf>
    <xf numFmtId="3" fontId="3" fillId="0" borderId="15" xfId="2" applyNumberFormat="1" applyFont="1" applyBorder="1" applyAlignment="1">
      <alignment horizontal="left" vertical="center" wrapText="1" indent="3"/>
    </xf>
    <xf numFmtId="3" fontId="3" fillId="0" borderId="11" xfId="2" applyNumberFormat="1" applyFont="1" applyBorder="1" applyAlignment="1">
      <alignment horizontal="center" vertical="center" wrapText="1"/>
    </xf>
    <xf numFmtId="3" fontId="3" fillId="0" borderId="15" xfId="2" applyNumberFormat="1" applyFont="1" applyBorder="1" applyAlignment="1">
      <alignment horizontal="center" vertical="center" wrapText="1"/>
    </xf>
    <xf numFmtId="3" fontId="6" fillId="3" borderId="97" xfId="2" applyNumberFormat="1" applyFont="1" applyFill="1" applyBorder="1" applyAlignment="1">
      <alignment horizontal="center" vertical="center"/>
    </xf>
    <xf numFmtId="3" fontId="6" fillId="3" borderId="98" xfId="2" applyNumberFormat="1" applyFont="1" applyFill="1" applyBorder="1" applyAlignment="1">
      <alignment horizontal="center" vertical="center"/>
    </xf>
    <xf numFmtId="3" fontId="6" fillId="0" borderId="13" xfId="2" applyNumberFormat="1" applyFont="1" applyBorder="1" applyAlignment="1">
      <alignment horizontal="center" vertical="center" wrapText="1"/>
    </xf>
    <xf numFmtId="3" fontId="6" fillId="0" borderId="37" xfId="2" applyNumberFormat="1" applyFont="1" applyBorder="1" applyAlignment="1">
      <alignment horizontal="center" vertical="center" wrapText="1"/>
    </xf>
    <xf numFmtId="0" fontId="2"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4" fontId="2" fillId="0" borderId="0" xfId="0" applyNumberFormat="1" applyFont="1" applyBorder="1" applyAlignment="1" applyProtection="1">
      <alignment horizontal="left" vertical="center"/>
    </xf>
    <xf numFmtId="4" fontId="2" fillId="0" borderId="57" xfId="0" applyNumberFormat="1" applyFont="1" applyBorder="1" applyAlignment="1" applyProtection="1">
      <alignment horizontal="left" vertical="center"/>
    </xf>
    <xf numFmtId="4" fontId="0" fillId="0" borderId="0" xfId="0" applyNumberFormat="1" applyBorder="1" applyAlignment="1" applyProtection="1">
      <alignment horizontal="left" vertical="center"/>
    </xf>
    <xf numFmtId="4" fontId="0" fillId="0" borderId="57" xfId="0" applyNumberFormat="1" applyBorder="1" applyAlignment="1" applyProtection="1">
      <alignment horizontal="left" vertical="center"/>
    </xf>
    <xf numFmtId="4" fontId="1" fillId="0" borderId="0" xfId="0" applyNumberFormat="1" applyFont="1" applyAlignment="1" applyProtection="1">
      <alignment horizontal="left" vertical="center" wrapText="1"/>
    </xf>
    <xf numFmtId="0" fontId="6" fillId="2" borderId="51" xfId="0" applyFont="1" applyFill="1" applyBorder="1" applyAlignment="1" applyProtection="1">
      <alignment horizontal="center" vertical="center"/>
    </xf>
    <xf numFmtId="0" fontId="6" fillId="2" borderId="5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2" fillId="0" borderId="47" xfId="0" applyFont="1" applyBorder="1" applyAlignment="1" applyProtection="1">
      <alignment horizontal="center" vertical="center"/>
    </xf>
    <xf numFmtId="0" fontId="2" fillId="0" borderId="71" xfId="0" applyFont="1" applyBorder="1" applyAlignment="1" applyProtection="1">
      <alignment horizontal="center" vertical="center"/>
    </xf>
    <xf numFmtId="0" fontId="6" fillId="2" borderId="51" xfId="0" applyFont="1" applyFill="1" applyBorder="1" applyAlignment="1" applyProtection="1">
      <alignment horizontal="center" vertical="center" wrapText="1"/>
    </xf>
    <xf numFmtId="0" fontId="2" fillId="0" borderId="72" xfId="0" applyFont="1" applyBorder="1" applyAlignment="1" applyProtection="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3" fillId="0" borderId="39" xfId="3" applyFont="1" applyBorder="1" applyAlignment="1">
      <alignment horizontal="center" vertical="center"/>
    </xf>
    <xf numFmtId="0" fontId="3" fillId="0" borderId="43" xfId="3" applyFont="1" applyBorder="1" applyAlignment="1">
      <alignment horizontal="center" vertical="center"/>
    </xf>
    <xf numFmtId="0" fontId="3" fillId="0" borderId="99" xfId="3" applyFont="1" applyBorder="1" applyAlignment="1">
      <alignment horizontal="center" vertical="center"/>
    </xf>
    <xf numFmtId="0" fontId="3" fillId="2" borderId="48" xfId="3" applyFont="1" applyFill="1" applyBorder="1" applyAlignment="1">
      <alignment horizontal="center" vertical="center" wrapText="1"/>
    </xf>
    <xf numFmtId="0" fontId="3" fillId="2" borderId="100" xfId="3" applyFont="1" applyFill="1" applyBorder="1" applyAlignment="1">
      <alignment vertical="center"/>
    </xf>
    <xf numFmtId="0" fontId="3" fillId="2" borderId="31" xfId="3" applyFont="1" applyFill="1" applyBorder="1" applyAlignment="1">
      <alignment horizontal="center" vertical="center" wrapText="1"/>
    </xf>
    <xf numFmtId="0" fontId="3" fillId="2" borderId="32" xfId="3" applyFont="1" applyFill="1" applyBorder="1" applyAlignment="1">
      <alignment horizontal="center" vertical="center" wrapText="1"/>
    </xf>
    <xf numFmtId="0" fontId="3" fillId="2" borderId="31" xfId="3" applyFont="1" applyFill="1" applyBorder="1" applyAlignment="1">
      <alignment horizontal="center" vertical="center"/>
    </xf>
    <xf numFmtId="0" fontId="3" fillId="2" borderId="32" xfId="3" applyFont="1" applyFill="1" applyBorder="1" applyAlignment="1">
      <alignment horizontal="center" vertical="center"/>
    </xf>
    <xf numFmtId="0" fontId="18" fillId="2" borderId="51" xfId="3" applyFont="1" applyFill="1" applyBorder="1" applyAlignment="1">
      <alignment horizontal="center" vertical="center" wrapText="1"/>
    </xf>
    <xf numFmtId="0" fontId="18" fillId="2" borderId="19" xfId="3" applyFont="1" applyFill="1" applyBorder="1" applyAlignment="1">
      <alignment horizontal="center" vertical="center" wrapText="1"/>
    </xf>
    <xf numFmtId="0" fontId="18" fillId="2" borderId="52" xfId="3" applyFont="1" applyFill="1" applyBorder="1" applyAlignment="1">
      <alignment horizontal="center" vertical="center" wrapText="1"/>
    </xf>
    <xf numFmtId="0" fontId="18" fillId="2" borderId="31" xfId="3" applyFont="1" applyFill="1" applyBorder="1" applyAlignment="1">
      <alignment horizontal="center" vertical="center" wrapText="1"/>
    </xf>
    <xf numFmtId="0" fontId="18" fillId="2" borderId="17" xfId="3" applyFont="1" applyFill="1" applyBorder="1" applyAlignment="1">
      <alignment horizontal="center" vertical="center" wrapText="1"/>
    </xf>
    <xf numFmtId="0" fontId="18" fillId="2" borderId="32" xfId="3" applyFont="1" applyFill="1" applyBorder="1" applyAlignment="1">
      <alignment horizontal="center" vertical="center" wrapText="1"/>
    </xf>
    <xf numFmtId="0" fontId="18" fillId="2" borderId="31" xfId="3" applyFont="1" applyFill="1" applyBorder="1" applyAlignment="1">
      <alignment horizontal="center" vertical="center"/>
    </xf>
    <xf numFmtId="0" fontId="18" fillId="2" borderId="17" xfId="3" applyFont="1" applyFill="1" applyBorder="1" applyAlignment="1">
      <alignment horizontal="center" vertical="center"/>
    </xf>
    <xf numFmtId="0" fontId="18" fillId="2" borderId="32" xfId="3" applyFont="1" applyFill="1" applyBorder="1" applyAlignment="1">
      <alignment horizontal="center" vertical="center"/>
    </xf>
    <xf numFmtId="0" fontId="18" fillId="2" borderId="61" xfId="3" applyFont="1" applyFill="1" applyBorder="1" applyAlignment="1">
      <alignment horizontal="center" vertical="center" wrapText="1"/>
    </xf>
    <xf numFmtId="0" fontId="19" fillId="0" borderId="2" xfId="3" applyFont="1" applyBorder="1" applyAlignment="1">
      <alignment vertical="center"/>
    </xf>
    <xf numFmtId="0" fontId="4" fillId="0" borderId="71" xfId="3" applyFont="1" applyFill="1" applyBorder="1" applyAlignment="1">
      <alignment horizontal="right" vertical="center"/>
    </xf>
    <xf numFmtId="0" fontId="4" fillId="0" borderId="72" xfId="3" applyFont="1" applyFill="1" applyBorder="1" applyAlignment="1">
      <alignment horizontal="right" vertical="center"/>
    </xf>
    <xf numFmtId="0" fontId="8" fillId="0" borderId="0" xfId="3" applyFont="1" applyAlignment="1">
      <alignment horizontal="center"/>
    </xf>
    <xf numFmtId="0" fontId="4" fillId="0" borderId="8" xfId="3" applyFont="1" applyFill="1" applyBorder="1" applyAlignment="1">
      <alignment horizontal="right" vertical="center"/>
    </xf>
    <xf numFmtId="0" fontId="4" fillId="0" borderId="15" xfId="3" applyFont="1" applyFill="1" applyBorder="1" applyAlignment="1">
      <alignment horizontal="right" vertical="center"/>
    </xf>
    <xf numFmtId="0" fontId="18" fillId="2" borderId="73" xfId="3" applyFont="1" applyFill="1" applyBorder="1" applyAlignment="1">
      <alignment horizontal="center" vertical="center" wrapText="1"/>
    </xf>
    <xf numFmtId="0" fontId="18" fillId="2" borderId="82" xfId="3" applyFont="1" applyFill="1" applyBorder="1" applyAlignment="1">
      <alignment horizontal="center" vertical="center" wrapText="1"/>
    </xf>
    <xf numFmtId="0" fontId="8" fillId="0" borderId="0" xfId="3" applyFont="1" applyBorder="1" applyAlignment="1">
      <alignment horizontal="center"/>
    </xf>
    <xf numFmtId="0" fontId="3" fillId="2" borderId="51" xfId="3" applyFont="1" applyFill="1" applyBorder="1" applyAlignment="1">
      <alignment horizontal="center" vertical="center"/>
    </xf>
    <xf numFmtId="0" fontId="3" fillId="2" borderId="19" xfId="3" applyFont="1" applyFill="1" applyBorder="1" applyAlignment="1">
      <alignment horizontal="center" vertical="center"/>
    </xf>
    <xf numFmtId="0" fontId="3" fillId="2" borderId="79" xfId="3" applyFont="1" applyFill="1" applyBorder="1" applyAlignment="1">
      <alignment horizontal="center" vertical="center"/>
    </xf>
    <xf numFmtId="0" fontId="3" fillId="2" borderId="17" xfId="3" applyFont="1" applyFill="1" applyBorder="1" applyAlignment="1">
      <alignment horizontal="center" vertical="center" wrapText="1"/>
    </xf>
    <xf numFmtId="0" fontId="3" fillId="2" borderId="80" xfId="3" applyFont="1" applyFill="1" applyBorder="1" applyAlignment="1">
      <alignment horizontal="center" vertical="center" wrapText="1"/>
    </xf>
    <xf numFmtId="0" fontId="3" fillId="2" borderId="61" xfId="3" applyFont="1" applyFill="1" applyBorder="1" applyAlignment="1">
      <alignment horizontal="center" vertical="center" wrapText="1"/>
    </xf>
    <xf numFmtId="0" fontId="3" fillId="2" borderId="81" xfId="3" applyFont="1" applyFill="1" applyBorder="1" applyAlignment="1">
      <alignment horizontal="center" vertical="center" wrapText="1"/>
    </xf>
    <xf numFmtId="0" fontId="3" fillId="0" borderId="39" xfId="3" applyFont="1" applyBorder="1" applyAlignment="1">
      <alignment horizontal="right"/>
    </xf>
    <xf numFmtId="0" fontId="3" fillId="0" borderId="43" xfId="3" applyFont="1" applyBorder="1" applyAlignment="1">
      <alignment horizontal="right"/>
    </xf>
    <xf numFmtId="0" fontId="3" fillId="2" borderId="51"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79" xfId="3" applyFont="1" applyFill="1" applyBorder="1" applyAlignment="1">
      <alignment horizontal="center" vertical="center" wrapText="1"/>
    </xf>
  </cellXfs>
  <cellStyles count="4">
    <cellStyle name="Hipervínculo" xfId="1" builtinId="8"/>
    <cellStyle name="Normal" xfId="0" builtinId="0"/>
    <cellStyle name="Normal_Administrativo empresa a empresa" xfId="2"/>
    <cellStyle name="Normal_Estado Deuda Art. 166 TRLHL" xfId="3"/>
  </cellStyles>
  <dxfs count="3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gopempresas@munimadrid.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81"/>
  <sheetViews>
    <sheetView zoomScaleNormal="75" workbookViewId="0"/>
  </sheetViews>
  <sheetFormatPr baseColWidth="10" defaultRowHeight="12.75" x14ac:dyDescent="0.2"/>
  <cols>
    <col min="1" max="1" width="11.42578125" style="29"/>
    <col min="2" max="2" width="5.7109375" style="29" customWidth="1"/>
    <col min="3" max="3" width="44.42578125" style="29" customWidth="1"/>
    <col min="4" max="6" width="20.7109375" style="29" customWidth="1"/>
    <col min="7" max="7" width="11.7109375" style="30" customWidth="1"/>
    <col min="8" max="16384" width="11.42578125" style="29"/>
  </cols>
  <sheetData>
    <row r="2" spans="2:7" ht="18" customHeight="1" x14ac:dyDescent="0.25">
      <c r="B2" s="493" t="s">
        <v>439</v>
      </c>
      <c r="C2" s="493"/>
      <c r="D2" s="493"/>
      <c r="E2" s="493"/>
      <c r="F2" s="493"/>
      <c r="G2" s="493"/>
    </row>
    <row r="3" spans="2:7" ht="18" customHeight="1" x14ac:dyDescent="0.25">
      <c r="B3" s="4" t="str">
        <f>PyG!B5</f>
        <v>CENTRO: 701</v>
      </c>
    </row>
    <row r="4" spans="2:7" ht="18" customHeight="1" x14ac:dyDescent="0.25">
      <c r="B4" s="4" t="str">
        <f>PyG!B6</f>
        <v>SECCION: 035</v>
      </c>
    </row>
    <row r="5" spans="2:7" ht="18" customHeight="1" x14ac:dyDescent="0.25">
      <c r="B5" s="4" t="str">
        <f>PyG!B7</f>
        <v>SOCIEDAD: EMPRESA MUNICIPAL DE LA VIVIENDA Y SUELO DE MADRID S.A.</v>
      </c>
      <c r="D5" s="31"/>
      <c r="E5" s="31"/>
      <c r="F5" s="31"/>
    </row>
    <row r="6" spans="2:7" ht="5.25" customHeight="1" thickBot="1" x14ac:dyDescent="0.3">
      <c r="C6" s="31"/>
      <c r="D6" s="31"/>
      <c r="E6" s="31"/>
      <c r="F6" s="31"/>
    </row>
    <row r="7" spans="2:7" ht="30" customHeight="1" x14ac:dyDescent="0.2">
      <c r="B7" s="498" t="s">
        <v>0</v>
      </c>
      <c r="C7" s="499"/>
      <c r="D7" s="446" t="s">
        <v>430</v>
      </c>
      <c r="E7" s="68" t="s">
        <v>440</v>
      </c>
      <c r="F7" s="46" t="s">
        <v>440</v>
      </c>
      <c r="G7" s="47" t="s">
        <v>14</v>
      </c>
    </row>
    <row r="8" spans="2:7" ht="20.100000000000001" customHeight="1" x14ac:dyDescent="0.2">
      <c r="B8" s="39">
        <v>1</v>
      </c>
      <c r="C8" s="35" t="s">
        <v>17</v>
      </c>
      <c r="D8" s="48">
        <f>PRESUPUESTO!D8</f>
        <v>0</v>
      </c>
      <c r="E8" s="69"/>
      <c r="F8" s="48"/>
      <c r="G8" s="49" t="str">
        <f>IF(D8=0,"",(F8-D8)/D8)</f>
        <v/>
      </c>
    </row>
    <row r="9" spans="2:7" ht="20.100000000000001" customHeight="1" x14ac:dyDescent="0.2">
      <c r="B9" s="39">
        <v>2</v>
      </c>
      <c r="C9" s="35" t="s">
        <v>18</v>
      </c>
      <c r="D9" s="48">
        <f>PRESUPUESTO!D9</f>
        <v>0</v>
      </c>
      <c r="E9" s="69"/>
      <c r="F9" s="48"/>
      <c r="G9" s="49" t="str">
        <f>IF(D9=0,"",(F9-D9)/D9)</f>
        <v/>
      </c>
    </row>
    <row r="10" spans="2:7" ht="20.100000000000001" customHeight="1" x14ac:dyDescent="0.2">
      <c r="B10" s="39">
        <v>3</v>
      </c>
      <c r="C10" s="35" t="s">
        <v>19</v>
      </c>
      <c r="D10" s="48">
        <f>PRESUPUESTO!D10</f>
        <v>0</v>
      </c>
      <c r="E10" s="69"/>
      <c r="F10" s="48"/>
      <c r="G10" s="49" t="str">
        <f>IF(D10=0,"",(F10-D10)/D10)</f>
        <v/>
      </c>
    </row>
    <row r="11" spans="2:7" ht="20.100000000000001" customHeight="1" x14ac:dyDescent="0.2">
      <c r="B11" s="39">
        <v>4</v>
      </c>
      <c r="C11" s="35" t="s">
        <v>20</v>
      </c>
      <c r="D11" s="48">
        <f>PRESUPUESTO!D11</f>
        <v>43040207.800000004</v>
      </c>
      <c r="E11" s="69"/>
      <c r="F11" s="48">
        <f>SUM(E12:E13)</f>
        <v>41268880.270000003</v>
      </c>
      <c r="G11" s="49">
        <f>IF(D11=0,"",(F11-D11)/D11)</f>
        <v>-4.1155180714531794E-2</v>
      </c>
    </row>
    <row r="12" spans="2:7" ht="18.75" customHeight="1" x14ac:dyDescent="0.2">
      <c r="B12" s="39"/>
      <c r="C12" s="113" t="s">
        <v>272</v>
      </c>
      <c r="D12" s="71"/>
      <c r="E12" s="79">
        <f>PyG!E33</f>
        <v>38470707.560000002</v>
      </c>
      <c r="F12" s="48"/>
      <c r="G12" s="49"/>
    </row>
    <row r="13" spans="2:7" ht="18.75" customHeight="1" x14ac:dyDescent="0.2">
      <c r="B13" s="39"/>
      <c r="C13" s="113" t="s">
        <v>273</v>
      </c>
      <c r="D13" s="71"/>
      <c r="E13" s="79">
        <f>PyG!E34</f>
        <v>2798172.71</v>
      </c>
      <c r="F13" s="48"/>
      <c r="G13" s="49"/>
    </row>
    <row r="14" spans="2:7" ht="20.100000000000001" customHeight="1" x14ac:dyDescent="0.2">
      <c r="B14" s="40">
        <v>5</v>
      </c>
      <c r="C14" s="36" t="s">
        <v>21</v>
      </c>
      <c r="D14" s="48">
        <f>PRESUPUESTO!D14</f>
        <v>143728260</v>
      </c>
      <c r="E14" s="69"/>
      <c r="F14" s="48">
        <f>SUM(E15:E19)</f>
        <v>152331739</v>
      </c>
      <c r="G14" s="49">
        <f>IF(D14=0,"",(F14-D14)/D14)</f>
        <v>5.9859341510152562E-2</v>
      </c>
    </row>
    <row r="15" spans="2:7" ht="18.75" customHeight="1" x14ac:dyDescent="0.2">
      <c r="B15" s="44"/>
      <c r="C15" s="60" t="s">
        <v>137</v>
      </c>
      <c r="D15" s="71"/>
      <c r="E15" s="70">
        <f>PyG!E13</f>
        <v>151431739</v>
      </c>
      <c r="F15" s="48"/>
      <c r="G15" s="49"/>
    </row>
    <row r="16" spans="2:7" ht="18.75" customHeight="1" x14ac:dyDescent="0.2">
      <c r="B16" s="44"/>
      <c r="C16" s="113" t="s">
        <v>274</v>
      </c>
      <c r="D16" s="71"/>
      <c r="E16" s="70">
        <f>PyG!E32</f>
        <v>0</v>
      </c>
      <c r="F16" s="48"/>
      <c r="G16" s="49"/>
    </row>
    <row r="17" spans="2:9" ht="18.75" customHeight="1" x14ac:dyDescent="0.2">
      <c r="B17" s="44"/>
      <c r="C17" s="61" t="s">
        <v>275</v>
      </c>
      <c r="D17" s="71"/>
      <c r="E17" s="70">
        <f>PyG!E54</f>
        <v>0</v>
      </c>
      <c r="F17" s="48"/>
      <c r="G17" s="49"/>
    </row>
    <row r="18" spans="2:9" ht="18.75" customHeight="1" x14ac:dyDescent="0.2">
      <c r="B18" s="44"/>
      <c r="C18" s="61" t="s">
        <v>358</v>
      </c>
      <c r="D18" s="71"/>
      <c r="E18" s="70">
        <f>PyG!E58+PyG!E61</f>
        <v>900000</v>
      </c>
      <c r="F18" s="48"/>
      <c r="G18" s="49"/>
    </row>
    <row r="19" spans="2:9" ht="18.75" customHeight="1" x14ac:dyDescent="0.2">
      <c r="B19" s="44"/>
      <c r="C19" s="341" t="s">
        <v>397</v>
      </c>
      <c r="D19" s="71"/>
      <c r="E19" s="70">
        <f>IF(PyG!E89&lt;0,ABS(PyG!E89),0)</f>
        <v>0</v>
      </c>
      <c r="F19" s="48"/>
      <c r="G19" s="49"/>
    </row>
    <row r="20" spans="2:9" ht="20.100000000000001" customHeight="1" x14ac:dyDescent="0.2">
      <c r="B20" s="494" t="s">
        <v>22</v>
      </c>
      <c r="C20" s="495"/>
      <c r="D20" s="54">
        <f>D8+D9+D10+D11+D14</f>
        <v>186768467.80000001</v>
      </c>
      <c r="E20" s="73"/>
      <c r="F20" s="55">
        <f>F8+F9+F10+F11+F14</f>
        <v>193600619.27000001</v>
      </c>
      <c r="G20" s="50">
        <f>IF(D20=0,"",(F20-D20)/D20)</f>
        <v>3.6580861590170405E-2</v>
      </c>
      <c r="H20" s="32"/>
      <c r="I20" s="32"/>
    </row>
    <row r="21" spans="2:9" ht="20.100000000000001" customHeight="1" x14ac:dyDescent="0.2">
      <c r="B21" s="41">
        <v>6</v>
      </c>
      <c r="C21" s="37" t="s">
        <v>23</v>
      </c>
      <c r="D21" s="48">
        <f>PRESUPUESTO!D21</f>
        <v>49776437</v>
      </c>
      <c r="E21" s="69"/>
      <c r="F21" s="48">
        <f>SUM(E22:E25)</f>
        <v>26867969.32</v>
      </c>
      <c r="G21" s="49">
        <f>IF(D21=0,"",(F21-D21)/D21)</f>
        <v>-0.46022714884152915</v>
      </c>
    </row>
    <row r="22" spans="2:9" ht="18.75" customHeight="1" x14ac:dyDescent="0.2">
      <c r="B22" s="62"/>
      <c r="C22" s="66" t="s">
        <v>359</v>
      </c>
      <c r="D22" s="71"/>
      <c r="E22" s="72">
        <f>PAIF!H40</f>
        <v>0</v>
      </c>
      <c r="F22" s="48"/>
      <c r="G22" s="49"/>
    </row>
    <row r="23" spans="2:9" ht="18.75" customHeight="1" x14ac:dyDescent="0.2">
      <c r="B23" s="62"/>
      <c r="C23" s="66" t="s">
        <v>360</v>
      </c>
      <c r="D23" s="71"/>
      <c r="E23" s="72">
        <f>PAIF!H41</f>
        <v>0</v>
      </c>
      <c r="F23" s="48"/>
      <c r="G23" s="49"/>
    </row>
    <row r="24" spans="2:9" ht="18.75" customHeight="1" x14ac:dyDescent="0.2">
      <c r="B24" s="62"/>
      <c r="C24" s="66" t="s">
        <v>361</v>
      </c>
      <c r="D24" s="71"/>
      <c r="E24" s="72">
        <f>PAIF!H42</f>
        <v>26867969.32</v>
      </c>
      <c r="F24" s="48"/>
      <c r="G24" s="49"/>
    </row>
    <row r="25" spans="2:9" ht="18.75" customHeight="1" x14ac:dyDescent="0.2">
      <c r="B25" s="62"/>
      <c r="C25" s="66" t="s">
        <v>362</v>
      </c>
      <c r="D25" s="71"/>
      <c r="E25" s="72">
        <f>PAIF!H44</f>
        <v>0</v>
      </c>
      <c r="F25" s="48"/>
      <c r="G25" s="49"/>
    </row>
    <row r="26" spans="2:9" ht="20.100000000000001" customHeight="1" x14ac:dyDescent="0.2">
      <c r="B26" s="42">
        <v>7</v>
      </c>
      <c r="C26" s="36" t="s">
        <v>24</v>
      </c>
      <c r="D26" s="48">
        <f>PRESUPUESTO!D26</f>
        <v>8477667</v>
      </c>
      <c r="E26" s="69"/>
      <c r="F26" s="48">
        <f>E27</f>
        <v>8477667</v>
      </c>
      <c r="G26" s="49">
        <f>IF(D26=0,"",(F26-D26)/D26)</f>
        <v>0</v>
      </c>
    </row>
    <row r="27" spans="2:9" ht="18.75" customHeight="1" x14ac:dyDescent="0.2">
      <c r="B27" s="65"/>
      <c r="C27" s="274" t="s">
        <v>363</v>
      </c>
      <c r="D27" s="71"/>
      <c r="E27" s="74">
        <f>PAIF!H29-PAIF!H32</f>
        <v>8477667</v>
      </c>
      <c r="F27" s="48"/>
      <c r="G27" s="49"/>
    </row>
    <row r="28" spans="2:9" ht="20.100000000000001" customHeight="1" x14ac:dyDescent="0.2">
      <c r="B28" s="494" t="s">
        <v>25</v>
      </c>
      <c r="C28" s="495"/>
      <c r="D28" s="54">
        <f>D21+D26</f>
        <v>58254104</v>
      </c>
      <c r="E28" s="73"/>
      <c r="F28" s="55">
        <f>F21+F26</f>
        <v>35345636.32</v>
      </c>
      <c r="G28" s="50">
        <f>IF(D28=0,"",(F28-D28)/D28)</f>
        <v>-0.39325070865393447</v>
      </c>
      <c r="H28" s="32"/>
    </row>
    <row r="29" spans="2:9" ht="20.100000000000001" customHeight="1" x14ac:dyDescent="0.2">
      <c r="B29" s="496" t="s">
        <v>26</v>
      </c>
      <c r="C29" s="497"/>
      <c r="D29" s="54">
        <f>+D20+D28</f>
        <v>245022571.80000001</v>
      </c>
      <c r="E29" s="75"/>
      <c r="F29" s="55">
        <f>+F20+F28</f>
        <v>228946255.59</v>
      </c>
      <c r="G29" s="50">
        <f>IF(D29=0,"",(F29-D29)/D29)</f>
        <v>-6.5611572402898138E-2</v>
      </c>
      <c r="H29" s="32"/>
    </row>
    <row r="30" spans="2:9" ht="20.100000000000001" customHeight="1" x14ac:dyDescent="0.2">
      <c r="B30" s="43">
        <v>8</v>
      </c>
      <c r="C30" s="37" t="s">
        <v>27</v>
      </c>
      <c r="D30" s="48">
        <f>PRESUPUESTO!D30</f>
        <v>34514141.870000005</v>
      </c>
      <c r="E30" s="69"/>
      <c r="F30" s="48">
        <f>SUM(E31:E34)</f>
        <v>0</v>
      </c>
      <c r="G30" s="49">
        <f>IF(D30=0,"",(F30-D30)/D30)</f>
        <v>-1</v>
      </c>
    </row>
    <row r="31" spans="2:9" ht="18.75" customHeight="1" x14ac:dyDescent="0.2">
      <c r="B31" s="58"/>
      <c r="C31" s="67" t="s">
        <v>364</v>
      </c>
      <c r="D31" s="71"/>
      <c r="E31" s="74">
        <f>PAIF!H43</f>
        <v>0</v>
      </c>
      <c r="F31" s="48"/>
      <c r="G31" s="49"/>
    </row>
    <row r="32" spans="2:9" ht="18.75" customHeight="1" x14ac:dyDescent="0.2">
      <c r="B32" s="58"/>
      <c r="C32" s="66" t="s">
        <v>365</v>
      </c>
      <c r="D32" s="71"/>
      <c r="E32" s="74">
        <f>PAIF!H45</f>
        <v>0</v>
      </c>
      <c r="F32" s="48"/>
      <c r="G32" s="49"/>
    </row>
    <row r="33" spans="2:8" ht="18.75" customHeight="1" x14ac:dyDescent="0.2">
      <c r="B33" s="58"/>
      <c r="C33" s="275" t="s">
        <v>400</v>
      </c>
      <c r="D33" s="71"/>
      <c r="E33" s="74">
        <f>PAIF!H50</f>
        <v>0</v>
      </c>
      <c r="F33" s="48"/>
      <c r="G33" s="49"/>
    </row>
    <row r="34" spans="2:8" ht="18.75" customHeight="1" x14ac:dyDescent="0.2">
      <c r="B34" s="58"/>
      <c r="C34" s="275" t="s">
        <v>277</v>
      </c>
      <c r="D34" s="71"/>
      <c r="E34" s="74"/>
      <c r="F34" s="48"/>
      <c r="G34" s="49"/>
    </row>
    <row r="35" spans="2:8" ht="20.100000000000001" customHeight="1" x14ac:dyDescent="0.2">
      <c r="B35" s="44">
        <v>9</v>
      </c>
      <c r="C35" s="36" t="s">
        <v>28</v>
      </c>
      <c r="D35" s="48">
        <f>PRESUPUESTO!D35</f>
        <v>143262154</v>
      </c>
      <c r="E35" s="69"/>
      <c r="F35" s="48">
        <f>SUM(E36:E37)</f>
        <v>122992050</v>
      </c>
      <c r="G35" s="49">
        <f>IF(D35=0,"",(F35-D35)/D35)</f>
        <v>-0.14148959396492111</v>
      </c>
    </row>
    <row r="36" spans="2:8" ht="18.75" customHeight="1" x14ac:dyDescent="0.2">
      <c r="B36" s="44"/>
      <c r="C36" s="274" t="s">
        <v>366</v>
      </c>
      <c r="D36" s="71"/>
      <c r="E36" s="81">
        <f>PAIF!H25</f>
        <v>0</v>
      </c>
      <c r="F36" s="48"/>
      <c r="G36" s="49"/>
    </row>
    <row r="37" spans="2:8" ht="18.75" customHeight="1" x14ac:dyDescent="0.2">
      <c r="B37" s="44"/>
      <c r="C37" s="274" t="s">
        <v>367</v>
      </c>
      <c r="D37" s="71"/>
      <c r="E37" s="81">
        <f>PAIF!H34</f>
        <v>122992050</v>
      </c>
      <c r="F37" s="48"/>
      <c r="G37" s="49"/>
    </row>
    <row r="38" spans="2:8" ht="20.100000000000001" customHeight="1" x14ac:dyDescent="0.2">
      <c r="B38" s="496" t="s">
        <v>29</v>
      </c>
      <c r="C38" s="497"/>
      <c r="D38" s="54">
        <f>D30+D35</f>
        <v>177776295.87</v>
      </c>
      <c r="E38" s="75"/>
      <c r="F38" s="55">
        <f>F30+F35</f>
        <v>122992050</v>
      </c>
      <c r="G38" s="50">
        <f>IF(D38=0,"",(F38-D38)/D38)</f>
        <v>-0.30816395179063311</v>
      </c>
      <c r="H38" s="32"/>
    </row>
    <row r="39" spans="2:8" ht="20.100000000000001" customHeight="1" thickBot="1" x14ac:dyDescent="0.25">
      <c r="B39" s="500" t="s">
        <v>6</v>
      </c>
      <c r="C39" s="501"/>
      <c r="D39" s="53">
        <f>+D29+D38</f>
        <v>422798867.67000002</v>
      </c>
      <c r="E39" s="76"/>
      <c r="F39" s="52">
        <f>+F29+F38</f>
        <v>351938305.59000003</v>
      </c>
      <c r="G39" s="51">
        <f>IF(D39=0,"",(F39-D39)/D39)</f>
        <v>-0.16759875084459205</v>
      </c>
      <c r="H39" s="32"/>
    </row>
    <row r="40" spans="2:8" s="82" customFormat="1" ht="20.100000000000001" customHeight="1" x14ac:dyDescent="0.2">
      <c r="B40" s="83"/>
      <c r="C40" s="83"/>
      <c r="D40" s="85"/>
      <c r="E40" s="84"/>
      <c r="F40" s="85"/>
      <c r="G40" s="86"/>
      <c r="H40" s="87"/>
    </row>
    <row r="41" spans="2:8" ht="20.100000000000001" customHeight="1" thickBot="1" x14ac:dyDescent="0.25">
      <c r="B41" s="33"/>
      <c r="C41" s="33"/>
      <c r="D41" s="33"/>
      <c r="E41" s="33"/>
      <c r="F41" s="33"/>
      <c r="G41" s="34"/>
    </row>
    <row r="42" spans="2:8" ht="30" customHeight="1" x14ac:dyDescent="0.2">
      <c r="B42" s="498" t="s">
        <v>1</v>
      </c>
      <c r="C42" s="499"/>
      <c r="D42" s="446" t="str">
        <f>D7</f>
        <v>PRESUPUESTO 2012</v>
      </c>
      <c r="E42" s="68" t="str">
        <f>E7</f>
        <v>ESTIMADO 2012</v>
      </c>
      <c r="F42" s="46" t="str">
        <f>F7</f>
        <v>ESTIMADO 2012</v>
      </c>
      <c r="G42" s="47" t="s">
        <v>14</v>
      </c>
    </row>
    <row r="43" spans="2:8" ht="20.100000000000001" customHeight="1" x14ac:dyDescent="0.2">
      <c r="B43" s="39">
        <v>1</v>
      </c>
      <c r="C43" s="38" t="s">
        <v>30</v>
      </c>
      <c r="D43" s="48">
        <f>PRESUPUESTO!D43</f>
        <v>16741374.9</v>
      </c>
      <c r="E43" s="77"/>
      <c r="F43" s="48">
        <f>SUM(E44:E46)</f>
        <v>15172642</v>
      </c>
      <c r="G43" s="49">
        <f>IF(D43=0,"",(F43-D43)/D43)</f>
        <v>-9.3703946621492853E-2</v>
      </c>
    </row>
    <row r="44" spans="2:8" ht="18.75" customHeight="1" x14ac:dyDescent="0.2">
      <c r="B44" s="39"/>
      <c r="C44" s="56" t="s">
        <v>356</v>
      </c>
      <c r="D44" s="71"/>
      <c r="E44" s="78">
        <f>ABS(PyG!E36)</f>
        <v>11646629</v>
      </c>
      <c r="F44" s="48"/>
      <c r="G44" s="49"/>
    </row>
    <row r="45" spans="2:8" ht="18.75" customHeight="1" x14ac:dyDescent="0.2">
      <c r="B45" s="39"/>
      <c r="C45" s="340" t="s">
        <v>357</v>
      </c>
      <c r="D45" s="71"/>
      <c r="E45" s="78">
        <f>ABS(PyG!E37)</f>
        <v>3526013</v>
      </c>
      <c r="F45" s="48"/>
      <c r="G45" s="49"/>
    </row>
    <row r="46" spans="2:8" ht="18.75" customHeight="1" x14ac:dyDescent="0.2">
      <c r="B46" s="39"/>
      <c r="C46" s="274" t="s">
        <v>402</v>
      </c>
      <c r="D46" s="71"/>
      <c r="E46" s="74">
        <f>PAIF!D45</f>
        <v>0</v>
      </c>
      <c r="F46" s="48"/>
      <c r="G46" s="49"/>
    </row>
    <row r="47" spans="2:8" ht="20.100000000000001" customHeight="1" x14ac:dyDescent="0.2">
      <c r="B47" s="39">
        <v>2</v>
      </c>
      <c r="C47" s="38" t="s">
        <v>31</v>
      </c>
      <c r="D47" s="48">
        <f>PRESUPUESTO!D47</f>
        <v>185444408.77000001</v>
      </c>
      <c r="E47" s="77"/>
      <c r="F47" s="48">
        <f>SUM(E48:E56)</f>
        <v>121702969.00999993</v>
      </c>
      <c r="G47" s="49">
        <f>IF(D47=0,"",(F47-D47)/D47)</f>
        <v>-0.34372262923848129</v>
      </c>
    </row>
    <row r="48" spans="2:8" ht="18.75" customHeight="1" x14ac:dyDescent="0.2">
      <c r="B48" s="39"/>
      <c r="C48" s="342" t="s">
        <v>142</v>
      </c>
      <c r="D48" s="71"/>
      <c r="E48" s="78">
        <f>-PyG!E24</f>
        <v>33476020.27</v>
      </c>
      <c r="F48" s="48"/>
      <c r="G48" s="49"/>
    </row>
    <row r="49" spans="2:7" ht="18.75" customHeight="1" x14ac:dyDescent="0.2">
      <c r="B49" s="39"/>
      <c r="C49" s="56" t="s">
        <v>265</v>
      </c>
      <c r="D49" s="71"/>
      <c r="E49" s="78">
        <f>-(PyG!E27+PyG!E28+PyG!E29)</f>
        <v>88431173.810000002</v>
      </c>
      <c r="F49" s="48"/>
      <c r="G49" s="49"/>
    </row>
    <row r="50" spans="2:7" ht="18.75" customHeight="1" x14ac:dyDescent="0.2">
      <c r="B50" s="39"/>
      <c r="C50" s="343" t="s">
        <v>374</v>
      </c>
      <c r="D50" s="71"/>
      <c r="E50" s="447">
        <f>(BAL!G35-BAL!G41)-(BAL!E35-BAL!E41)</f>
        <v>-40684943.670000076</v>
      </c>
      <c r="F50" s="48"/>
      <c r="G50" s="49"/>
    </row>
    <row r="51" spans="2:7" ht="18.75" customHeight="1" x14ac:dyDescent="0.2">
      <c r="B51" s="39"/>
      <c r="C51" s="56" t="s">
        <v>266</v>
      </c>
      <c r="D51" s="71"/>
      <c r="E51" s="78">
        <f>ABS(PyG!E40)</f>
        <v>30444047.600000001</v>
      </c>
      <c r="F51" s="48"/>
      <c r="G51" s="49"/>
    </row>
    <row r="52" spans="2:7" ht="18.75" customHeight="1" x14ac:dyDescent="0.2">
      <c r="B52" s="39"/>
      <c r="C52" s="57" t="s">
        <v>267</v>
      </c>
      <c r="D52" s="71"/>
      <c r="E52" s="80">
        <f>ABS(PyG!E41)</f>
        <v>10000000</v>
      </c>
      <c r="F52" s="48"/>
      <c r="G52" s="49"/>
    </row>
    <row r="53" spans="2:7" ht="18.75" customHeight="1" x14ac:dyDescent="0.2">
      <c r="B53" s="39"/>
      <c r="C53" s="56" t="s">
        <v>268</v>
      </c>
      <c r="D53" s="71"/>
      <c r="E53" s="78">
        <f>ABS(PyG!E43)</f>
        <v>0</v>
      </c>
      <c r="F53" s="48"/>
      <c r="G53" s="49"/>
    </row>
    <row r="54" spans="2:7" ht="18.75" customHeight="1" x14ac:dyDescent="0.2">
      <c r="B54" s="39"/>
      <c r="C54" s="59" t="s">
        <v>271</v>
      </c>
      <c r="D54" s="71"/>
      <c r="E54" s="78">
        <f>ABS(PyG!E55)</f>
        <v>0</v>
      </c>
      <c r="F54" s="48"/>
      <c r="G54" s="49"/>
    </row>
    <row r="55" spans="2:7" ht="18.75" customHeight="1" x14ac:dyDescent="0.2">
      <c r="B55" s="39"/>
      <c r="C55" s="341" t="s">
        <v>396</v>
      </c>
      <c r="D55" s="71"/>
      <c r="E55" s="70">
        <f>IF(PyG!E89&gt;0,PyG!E89,0)</f>
        <v>36671</v>
      </c>
      <c r="F55" s="48"/>
      <c r="G55" s="49"/>
    </row>
    <row r="56" spans="2:7" ht="20.100000000000001" customHeight="1" x14ac:dyDescent="0.2">
      <c r="B56" s="39"/>
      <c r="C56" s="64" t="s">
        <v>403</v>
      </c>
      <c r="D56" s="71"/>
      <c r="E56" s="72">
        <f>PAIF!D46</f>
        <v>0</v>
      </c>
      <c r="F56" s="48"/>
      <c r="G56" s="49"/>
    </row>
    <row r="57" spans="2:7" ht="20.100000000000001" customHeight="1" x14ac:dyDescent="0.2">
      <c r="B57" s="39">
        <v>3</v>
      </c>
      <c r="C57" s="38" t="s">
        <v>32</v>
      </c>
      <c r="D57" s="48">
        <f>PRESUPUESTO!D57</f>
        <v>35000000</v>
      </c>
      <c r="E57" s="77"/>
      <c r="F57" s="48">
        <f>SUM(E58:E60)</f>
        <v>28984558</v>
      </c>
      <c r="G57" s="49">
        <f>IF(D57=0,"",(F57-D57)/D57)</f>
        <v>-0.17186977142857143</v>
      </c>
    </row>
    <row r="58" spans="2:7" ht="20.100000000000001" customHeight="1" x14ac:dyDescent="0.2">
      <c r="B58" s="39"/>
      <c r="C58" s="59" t="s">
        <v>415</v>
      </c>
      <c r="D58" s="71"/>
      <c r="E58" s="78">
        <f>ABS(PyG!E66)</f>
        <v>0</v>
      </c>
      <c r="F58" s="48"/>
      <c r="G58" s="49"/>
    </row>
    <row r="59" spans="2:7" ht="20.100000000000001" customHeight="1" x14ac:dyDescent="0.2">
      <c r="B59" s="39"/>
      <c r="C59" s="59" t="s">
        <v>416</v>
      </c>
      <c r="D59" s="71"/>
      <c r="E59" s="78">
        <f>ABS(PyG!E67)</f>
        <v>28984558</v>
      </c>
      <c r="F59" s="48"/>
      <c r="G59" s="49"/>
    </row>
    <row r="60" spans="2:7" ht="20.100000000000001" customHeight="1" x14ac:dyDescent="0.2">
      <c r="B60" s="39"/>
      <c r="C60" s="64" t="s">
        <v>375</v>
      </c>
      <c r="D60" s="71"/>
      <c r="E60" s="74">
        <f>PAIF!D37</f>
        <v>0</v>
      </c>
      <c r="F60" s="48"/>
      <c r="G60" s="49"/>
    </row>
    <row r="61" spans="2:7" ht="20.100000000000001" customHeight="1" x14ac:dyDescent="0.2">
      <c r="B61" s="39">
        <v>4</v>
      </c>
      <c r="C61" s="38" t="s">
        <v>20</v>
      </c>
      <c r="D61" s="48">
        <f>PRESUPUESTO!D61</f>
        <v>0</v>
      </c>
      <c r="E61" s="77"/>
      <c r="F61" s="48"/>
      <c r="G61" s="49" t="str">
        <f>IF(D61=0,"",(F61-D61)/D61)</f>
        <v/>
      </c>
    </row>
    <row r="62" spans="2:7" ht="20.100000000000001" customHeight="1" x14ac:dyDescent="0.2">
      <c r="B62" s="494" t="s">
        <v>22</v>
      </c>
      <c r="C62" s="495"/>
      <c r="D62" s="54">
        <f>SUM(D43:D61)</f>
        <v>237185783.67000002</v>
      </c>
      <c r="E62" s="73"/>
      <c r="F62" s="55">
        <f>F43+F47+F57+F61</f>
        <v>165860169.00999993</v>
      </c>
      <c r="G62" s="50">
        <f>IF(D62=0,"",(F62-D62)/D62)</f>
        <v>-0.30071622993744196</v>
      </c>
    </row>
    <row r="63" spans="2:7" ht="20.100000000000001" customHeight="1" x14ac:dyDescent="0.2">
      <c r="B63" s="41">
        <v>6</v>
      </c>
      <c r="C63" s="37" t="s">
        <v>33</v>
      </c>
      <c r="D63" s="48"/>
      <c r="E63" s="69"/>
      <c r="F63" s="48">
        <f>SUM(E64:E66)-PyG!E25-PyG!E64</f>
        <v>11851260.890000001</v>
      </c>
      <c r="G63" s="49" t="str">
        <f>IF(D63=0,"",(F63-D63)/D63)</f>
        <v/>
      </c>
    </row>
    <row r="64" spans="2:7" ht="20.100000000000001" customHeight="1" x14ac:dyDescent="0.2">
      <c r="B64" s="62"/>
      <c r="C64" s="63" t="s">
        <v>368</v>
      </c>
      <c r="D64" s="71"/>
      <c r="E64" s="74">
        <f>PAIF!D12-PAIF!H32</f>
        <v>0</v>
      </c>
      <c r="F64" s="48"/>
      <c r="G64" s="49"/>
    </row>
    <row r="65" spans="2:7" ht="20.100000000000001" customHeight="1" x14ac:dyDescent="0.2">
      <c r="B65" s="62"/>
      <c r="C65" s="63" t="s">
        <v>369</v>
      </c>
      <c r="D65" s="71"/>
      <c r="E65" s="74">
        <f>PAIF!D17</f>
        <v>5604770</v>
      </c>
      <c r="F65" s="48"/>
      <c r="G65" s="49"/>
    </row>
    <row r="66" spans="2:7" ht="20.100000000000001" customHeight="1" x14ac:dyDescent="0.2">
      <c r="B66" s="62"/>
      <c r="C66" s="63" t="s">
        <v>370</v>
      </c>
      <c r="D66" s="71"/>
      <c r="E66" s="74">
        <f>PAIF!D23</f>
        <v>6246490.8899999997</v>
      </c>
      <c r="F66" s="48"/>
      <c r="G66" s="49"/>
    </row>
    <row r="67" spans="2:7" ht="20.100000000000001" customHeight="1" x14ac:dyDescent="0.2">
      <c r="B67" s="42">
        <v>7</v>
      </c>
      <c r="C67" s="36" t="s">
        <v>24</v>
      </c>
      <c r="D67" s="48">
        <f>PRESUPUESTO!D67</f>
        <v>0</v>
      </c>
      <c r="E67" s="69"/>
      <c r="F67" s="48"/>
      <c r="G67" s="49" t="str">
        <f>IF(D67=0,"",(F67-D67)/D67)</f>
        <v/>
      </c>
    </row>
    <row r="68" spans="2:7" ht="20.100000000000001" customHeight="1" x14ac:dyDescent="0.2">
      <c r="B68" s="494" t="s">
        <v>25</v>
      </c>
      <c r="C68" s="495"/>
      <c r="D68" s="54">
        <f>SUM(D63:D67)</f>
        <v>0</v>
      </c>
      <c r="E68" s="73"/>
      <c r="F68" s="55">
        <f>F63+F67</f>
        <v>11851260.890000001</v>
      </c>
      <c r="G68" s="50" t="str">
        <f>IF(D68=0,"",(F68-D68)/D68)</f>
        <v/>
      </c>
    </row>
    <row r="69" spans="2:7" ht="20.100000000000001" customHeight="1" x14ac:dyDescent="0.2">
      <c r="B69" s="496" t="s">
        <v>26</v>
      </c>
      <c r="C69" s="497"/>
      <c r="D69" s="54">
        <f>+D62+D68</f>
        <v>237185783.67000002</v>
      </c>
      <c r="E69" s="75"/>
      <c r="F69" s="55">
        <f>+F62+F68</f>
        <v>177711429.89999992</v>
      </c>
      <c r="G69" s="50">
        <f>IF(D69=0,"",(F69-D69)/D69)</f>
        <v>-0.25075007806010674</v>
      </c>
    </row>
    <row r="70" spans="2:7" ht="20.100000000000001" customHeight="1" x14ac:dyDescent="0.2">
      <c r="B70" s="43">
        <v>8</v>
      </c>
      <c r="C70" s="37" t="s">
        <v>27</v>
      </c>
      <c r="D70" s="48">
        <f>PRESUPUESTO!D70</f>
        <v>1220000</v>
      </c>
      <c r="E70" s="69"/>
      <c r="F70" s="48">
        <f>SUM(E71:E73)</f>
        <v>25546284.690000057</v>
      </c>
      <c r="G70" s="49">
        <f>IF(D70=0,"",(F70-D70)/D70)</f>
        <v>19.939577614754146</v>
      </c>
    </row>
    <row r="71" spans="2:7" ht="20.100000000000001" customHeight="1" x14ac:dyDescent="0.2">
      <c r="B71" s="58"/>
      <c r="C71" s="63" t="s">
        <v>371</v>
      </c>
      <c r="D71" s="71"/>
      <c r="E71" s="74">
        <f>PAIF!D26</f>
        <v>1472108</v>
      </c>
      <c r="F71" s="48"/>
      <c r="G71" s="49"/>
    </row>
    <row r="72" spans="2:7" ht="20.100000000000001" customHeight="1" x14ac:dyDescent="0.2">
      <c r="B72" s="58"/>
      <c r="C72" s="272" t="s">
        <v>401</v>
      </c>
      <c r="D72" s="71"/>
      <c r="E72" s="74">
        <f>PAIF!D50</f>
        <v>24074176.690000057</v>
      </c>
      <c r="F72" s="48"/>
      <c r="G72" s="49"/>
    </row>
    <row r="73" spans="2:7" ht="20.100000000000001" customHeight="1" x14ac:dyDescent="0.2">
      <c r="B73" s="58"/>
      <c r="C73" s="275" t="s">
        <v>277</v>
      </c>
      <c r="D73" s="71"/>
      <c r="E73" s="74"/>
      <c r="F73" s="48"/>
      <c r="G73" s="49"/>
    </row>
    <row r="74" spans="2:7" ht="20.100000000000001" customHeight="1" x14ac:dyDescent="0.2">
      <c r="B74" s="44">
        <v>9</v>
      </c>
      <c r="C74" s="36" t="s">
        <v>28</v>
      </c>
      <c r="D74" s="48">
        <f>PRESUPUESTO!D74</f>
        <v>102614363</v>
      </c>
      <c r="E74" s="69"/>
      <c r="F74" s="48">
        <f>SUM(E75:E76)</f>
        <v>148660591</v>
      </c>
      <c r="G74" s="49">
        <f>IF(D74=0,"",(F74-D74)/D74)</f>
        <v>0.44873082728194685</v>
      </c>
    </row>
    <row r="75" spans="2:7" ht="20.100000000000001" customHeight="1" x14ac:dyDescent="0.2">
      <c r="B75" s="44"/>
      <c r="C75" s="273" t="s">
        <v>372</v>
      </c>
      <c r="D75" s="71"/>
      <c r="E75" s="81">
        <f>PAIF!D35</f>
        <v>0</v>
      </c>
      <c r="F75" s="48"/>
      <c r="G75" s="49"/>
    </row>
    <row r="76" spans="2:7" ht="20.100000000000001" customHeight="1" x14ac:dyDescent="0.2">
      <c r="B76" s="44"/>
      <c r="C76" s="273" t="s">
        <v>373</v>
      </c>
      <c r="D76" s="71"/>
      <c r="E76" s="81">
        <f>PAIF!D39</f>
        <v>148660591</v>
      </c>
      <c r="F76" s="48"/>
      <c r="G76" s="49"/>
    </row>
    <row r="77" spans="2:7" ht="20.100000000000001" customHeight="1" x14ac:dyDescent="0.2">
      <c r="B77" s="496" t="s">
        <v>29</v>
      </c>
      <c r="C77" s="497"/>
      <c r="D77" s="54">
        <f>SUM(D70:D74)</f>
        <v>103834363</v>
      </c>
      <c r="E77" s="75"/>
      <c r="F77" s="55">
        <f>F70+F74</f>
        <v>174206875.69000006</v>
      </c>
      <c r="G77" s="50">
        <f>IF(D77=0,"",(F77-D77)/D77)</f>
        <v>0.6777381847086601</v>
      </c>
    </row>
    <row r="78" spans="2:7" ht="20.100000000000001" customHeight="1" thickBot="1" x14ac:dyDescent="0.25">
      <c r="B78" s="500" t="s">
        <v>6</v>
      </c>
      <c r="C78" s="501"/>
      <c r="D78" s="52">
        <f>+D77+D69</f>
        <v>341020146.67000002</v>
      </c>
      <c r="E78" s="76"/>
      <c r="F78" s="52">
        <f>+F77+F69</f>
        <v>351918305.58999997</v>
      </c>
      <c r="G78" s="51">
        <f>IF(D78=0,"",(F78-D78)/D78)</f>
        <v>3.1957522235617181E-2</v>
      </c>
    </row>
    <row r="81" spans="4:6" x14ac:dyDescent="0.2">
      <c r="D81" s="29">
        <f>+D39-D78</f>
        <v>81778721</v>
      </c>
      <c r="F81" s="29">
        <f>+F39-F78</f>
        <v>20000.000000059605</v>
      </c>
    </row>
  </sheetData>
  <sheetProtection password="CE88" sheet="1" objects="1" scenarios="1"/>
  <mergeCells count="13">
    <mergeCell ref="B78:C78"/>
    <mergeCell ref="B39:C39"/>
    <mergeCell ref="B62:C62"/>
    <mergeCell ref="B68:C68"/>
    <mergeCell ref="B69:C69"/>
    <mergeCell ref="B42:C42"/>
    <mergeCell ref="B2:G2"/>
    <mergeCell ref="B20:C20"/>
    <mergeCell ref="B28:C28"/>
    <mergeCell ref="B77:C77"/>
    <mergeCell ref="B29:C29"/>
    <mergeCell ref="B38:C38"/>
    <mergeCell ref="B7:C7"/>
  </mergeCells>
  <phoneticPr fontId="0" type="noConversion"/>
  <printOptions horizontalCentered="1" verticalCentered="1"/>
  <pageMargins left="0.75" right="0.75" top="1" bottom="1" header="0" footer="0"/>
  <pageSetup paperSize="9" scale="95" orientation="portrait" cellComments="asDisplayed" r:id="rId1"/>
  <headerFooter alignWithMargins="0">
    <oddFooter>&amp;C&amp;D</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1"/>
  <sheetViews>
    <sheetView view="pageBreakPreview" topLeftCell="A10" zoomScale="60" zoomScaleNormal="75" workbookViewId="0">
      <selection activeCell="D46" sqref="D46"/>
    </sheetView>
  </sheetViews>
  <sheetFormatPr baseColWidth="10" defaultRowHeight="12.75" x14ac:dyDescent="0.2"/>
  <cols>
    <col min="1" max="1" width="3.85546875" style="114" customWidth="1"/>
    <col min="2" max="2" width="39.7109375" style="114" customWidth="1"/>
    <col min="3" max="3" width="41.7109375" style="114" customWidth="1"/>
    <col min="4" max="4" width="22.42578125" style="114" customWidth="1"/>
    <col min="5" max="6" width="20" style="114" customWidth="1"/>
    <col min="7" max="7" width="22.85546875" style="114" customWidth="1"/>
    <col min="8" max="8" width="21.140625" style="114" customWidth="1"/>
    <col min="9" max="9" width="20" style="114" customWidth="1"/>
    <col min="10" max="10" width="16" style="114" customWidth="1"/>
    <col min="11" max="11" width="21.140625" style="114" customWidth="1"/>
    <col min="12" max="12" width="11.42578125" style="114"/>
    <col min="13" max="13" width="19.28515625" style="114" customWidth="1"/>
    <col min="14" max="14" width="11.42578125" style="114"/>
    <col min="15" max="15" width="11.42578125" style="114" hidden="1" customWidth="1"/>
    <col min="16" max="16" width="22.85546875" style="114" hidden="1" customWidth="1"/>
    <col min="17" max="16384" width="11.42578125" style="114"/>
  </cols>
  <sheetData>
    <row r="1" spans="2:11" ht="12.75" customHeight="1" x14ac:dyDescent="0.25">
      <c r="B1" s="116"/>
    </row>
    <row r="2" spans="2:11" ht="40.5" hidden="1" customHeight="1" x14ac:dyDescent="0.25">
      <c r="D2" s="370" t="s">
        <v>383</v>
      </c>
      <c r="E2" s="369">
        <f>PASIVOS!G22+PASIVOS!G38+HIPOTECARIOS!E46</f>
        <v>684719624.43999994</v>
      </c>
      <c r="F2" s="369">
        <f>PASIVOS!H22+PASIVOS!H38+HIPOTECARIOS!F46</f>
        <v>54163572</v>
      </c>
      <c r="G2" s="369">
        <f>PASIVOS!I22+PASIVOS!I38+HIPOTECARIOS!G46</f>
        <v>60542140.640000001</v>
      </c>
      <c r="H2" s="369">
        <f>H46</f>
        <v>74375541.780000001</v>
      </c>
      <c r="I2" s="369">
        <f>PASIVOS!J22+PASIVOS!J38+HIPOTECARIOS!I46</f>
        <v>603965514.01999998</v>
      </c>
    </row>
    <row r="3" spans="2:11" ht="18" customHeight="1" thickBot="1" x14ac:dyDescent="0.25"/>
    <row r="4" spans="2:11" ht="18" customHeight="1" thickTop="1" thickBot="1" x14ac:dyDescent="0.3">
      <c r="B4" s="2" t="str">
        <f>PyG!B4</f>
        <v>PRESUPUESTO 2013</v>
      </c>
      <c r="C4" s="115"/>
      <c r="D4" s="547" t="s">
        <v>63</v>
      </c>
      <c r="E4" s="547"/>
      <c r="F4" s="547"/>
      <c r="G4" s="115"/>
      <c r="H4" s="115"/>
      <c r="I4" s="3" t="s">
        <v>465</v>
      </c>
      <c r="J4" s="115"/>
      <c r="K4" s="115"/>
    </row>
    <row r="5" spans="2:11" ht="18.75" thickTop="1" x14ac:dyDescent="0.25">
      <c r="B5" s="4" t="str">
        <f>PyG!B5</f>
        <v>CENTRO: 701</v>
      </c>
      <c r="D5" s="542" t="s">
        <v>64</v>
      </c>
      <c r="E5" s="542"/>
      <c r="F5" s="542"/>
    </row>
    <row r="6" spans="2:11" ht="15.75" x14ac:dyDescent="0.25">
      <c r="B6" s="4" t="str">
        <f>PyG!B6</f>
        <v>SECCION: 035</v>
      </c>
      <c r="I6" s="118"/>
    </row>
    <row r="7" spans="2:11" ht="15.75" x14ac:dyDescent="0.25">
      <c r="B7" s="4" t="str">
        <f>PyG!B7</f>
        <v>SOCIEDAD: EMPRESA MUNICIPAL DE LA VIVIENDA Y SUELO DE MADRID S.A.</v>
      </c>
      <c r="I7" s="118"/>
    </row>
    <row r="8" spans="2:11" ht="6.75" customHeight="1" thickBot="1" x14ac:dyDescent="0.3">
      <c r="B8" s="4"/>
      <c r="I8" s="118"/>
    </row>
    <row r="9" spans="2:11" s="166" customFormat="1" ht="27.75" customHeight="1" thickBot="1" x14ac:dyDescent="0.25">
      <c r="B9" s="520" t="s">
        <v>51</v>
      </c>
      <c r="C9" s="521"/>
      <c r="D9" s="521"/>
      <c r="E9" s="521"/>
      <c r="F9" s="521"/>
      <c r="G9" s="521"/>
      <c r="H9" s="521"/>
      <c r="I9" s="522"/>
    </row>
    <row r="10" spans="2:11" ht="12.75" customHeight="1" x14ac:dyDescent="0.2">
      <c r="B10" s="548" t="s">
        <v>54</v>
      </c>
      <c r="C10" s="525" t="s">
        <v>55</v>
      </c>
      <c r="D10" s="525" t="s">
        <v>56</v>
      </c>
      <c r="E10" s="139" t="s">
        <v>37</v>
      </c>
      <c r="F10" s="139" t="s">
        <v>38</v>
      </c>
      <c r="G10" s="139" t="s">
        <v>39</v>
      </c>
      <c r="H10" s="139" t="s">
        <v>52</v>
      </c>
      <c r="I10" s="140" t="s">
        <v>53</v>
      </c>
    </row>
    <row r="11" spans="2:11" ht="15" customHeight="1" x14ac:dyDescent="0.2">
      <c r="B11" s="549"/>
      <c r="C11" s="551"/>
      <c r="D11" s="551"/>
      <c r="E11" s="551" t="s">
        <v>461</v>
      </c>
      <c r="F11" s="551" t="s">
        <v>458</v>
      </c>
      <c r="G11" s="551" t="s">
        <v>463</v>
      </c>
      <c r="H11" s="551" t="s">
        <v>466</v>
      </c>
      <c r="I11" s="553" t="s">
        <v>464</v>
      </c>
    </row>
    <row r="12" spans="2:11" ht="60.75" customHeight="1" thickBot="1" x14ac:dyDescent="0.25">
      <c r="B12" s="550"/>
      <c r="C12" s="552"/>
      <c r="D12" s="552"/>
      <c r="E12" s="552"/>
      <c r="F12" s="552"/>
      <c r="G12" s="552"/>
      <c r="H12" s="552"/>
      <c r="I12" s="554"/>
    </row>
    <row r="13" spans="2:11" ht="18" customHeight="1" x14ac:dyDescent="0.2">
      <c r="B13" s="167"/>
      <c r="C13" s="168" t="s">
        <v>496</v>
      </c>
      <c r="D13" s="359">
        <v>22158000</v>
      </c>
      <c r="E13" s="359">
        <v>14638974.210000001</v>
      </c>
      <c r="F13" s="359"/>
      <c r="G13" s="161">
        <v>1466050.84</v>
      </c>
      <c r="H13" s="360"/>
      <c r="I13" s="347">
        <f>E13+F13-G13-H13</f>
        <v>13172923.370000001</v>
      </c>
    </row>
    <row r="14" spans="2:11" ht="18" customHeight="1" x14ac:dyDescent="0.2">
      <c r="B14" s="159"/>
      <c r="C14" s="160" t="s">
        <v>497</v>
      </c>
      <c r="D14" s="161">
        <v>24376420.620000001</v>
      </c>
      <c r="E14" s="161">
        <f>4598851.19+10000000</f>
        <v>14598851.190000001</v>
      </c>
      <c r="F14" s="161">
        <v>1500000</v>
      </c>
      <c r="G14" s="161">
        <v>10283124.35</v>
      </c>
      <c r="H14" s="349"/>
      <c r="I14" s="347">
        <f>E14+F14-G14-H14</f>
        <v>5815726.8400000017</v>
      </c>
    </row>
    <row r="15" spans="2:11" ht="18" customHeight="1" x14ac:dyDescent="0.2">
      <c r="B15" s="159"/>
      <c r="C15" s="160" t="s">
        <v>498</v>
      </c>
      <c r="D15" s="161">
        <v>99106590</v>
      </c>
      <c r="E15" s="161">
        <f>34858494-10000000</f>
        <v>24858494</v>
      </c>
      <c r="F15" s="161"/>
      <c r="G15" s="161">
        <v>1364907</v>
      </c>
      <c r="H15" s="349">
        <v>4491999</v>
      </c>
      <c r="I15" s="347">
        <f>E15+F15-G15-H15</f>
        <v>19001588</v>
      </c>
    </row>
    <row r="16" spans="2:11" ht="18" customHeight="1" x14ac:dyDescent="0.2">
      <c r="B16" s="159"/>
      <c r="C16" s="160" t="s">
        <v>499</v>
      </c>
      <c r="D16" s="161">
        <v>52317756</v>
      </c>
      <c r="E16" s="161">
        <v>49821531.009999998</v>
      </c>
      <c r="F16" s="161">
        <v>7000000</v>
      </c>
      <c r="G16" s="161">
        <v>190058.67</v>
      </c>
      <c r="H16" s="349"/>
      <c r="I16" s="347">
        <f>E16+F16-G16-H16</f>
        <v>56631472.339999996</v>
      </c>
    </row>
    <row r="17" spans="2:16" ht="18" customHeight="1" x14ac:dyDescent="0.2">
      <c r="B17" s="159"/>
      <c r="C17" s="160"/>
      <c r="D17" s="161"/>
      <c r="E17" s="161"/>
      <c r="F17" s="161"/>
      <c r="G17" s="161"/>
      <c r="H17" s="349"/>
      <c r="I17" s="350"/>
    </row>
    <row r="18" spans="2:16" ht="18" customHeight="1" x14ac:dyDescent="0.2">
      <c r="B18" s="159"/>
      <c r="C18" s="160"/>
      <c r="D18" s="161"/>
      <c r="E18" s="161"/>
      <c r="F18" s="161"/>
      <c r="G18" s="161"/>
      <c r="H18" s="349"/>
      <c r="I18" s="350"/>
    </row>
    <row r="19" spans="2:16" ht="18" customHeight="1" x14ac:dyDescent="0.2">
      <c r="B19" s="159"/>
      <c r="C19" s="160"/>
      <c r="D19" s="161"/>
      <c r="E19" s="161"/>
      <c r="F19" s="161"/>
      <c r="G19" s="161"/>
      <c r="H19" s="349"/>
      <c r="I19" s="350"/>
    </row>
    <row r="20" spans="2:16" ht="18" customHeight="1" x14ac:dyDescent="0.2">
      <c r="B20" s="159"/>
      <c r="C20" s="160"/>
      <c r="D20" s="161"/>
      <c r="E20" s="161"/>
      <c r="F20" s="161"/>
      <c r="G20" s="161"/>
      <c r="H20" s="349"/>
      <c r="I20" s="350"/>
    </row>
    <row r="21" spans="2:16" ht="18" customHeight="1" x14ac:dyDescent="0.2">
      <c r="B21" s="159"/>
      <c r="C21" s="160"/>
      <c r="D21" s="161"/>
      <c r="E21" s="161"/>
      <c r="F21" s="161"/>
      <c r="G21" s="161"/>
      <c r="H21" s="349"/>
      <c r="I21" s="350"/>
    </row>
    <row r="22" spans="2:16" ht="18" customHeight="1" x14ac:dyDescent="0.2">
      <c r="B22" s="159"/>
      <c r="C22" s="160"/>
      <c r="D22" s="161"/>
      <c r="E22" s="161"/>
      <c r="F22" s="161"/>
      <c r="G22" s="161"/>
      <c r="H22" s="349"/>
      <c r="I22" s="350"/>
    </row>
    <row r="23" spans="2:16" ht="18" customHeight="1" x14ac:dyDescent="0.2">
      <c r="B23" s="159"/>
      <c r="C23" s="160"/>
      <c r="D23" s="161"/>
      <c r="E23" s="161"/>
      <c r="F23" s="161"/>
      <c r="G23" s="161"/>
      <c r="H23" s="349"/>
      <c r="I23" s="350"/>
    </row>
    <row r="24" spans="2:16" ht="18" customHeight="1" thickBot="1" x14ac:dyDescent="0.25">
      <c r="B24" s="159"/>
      <c r="C24" s="160"/>
      <c r="D24" s="161"/>
      <c r="E24" s="161"/>
      <c r="F24" s="161"/>
      <c r="G24" s="161"/>
      <c r="H24" s="349"/>
      <c r="I24" s="350"/>
    </row>
    <row r="25" spans="2:16" ht="18" customHeight="1" thickBot="1" x14ac:dyDescent="0.3">
      <c r="B25" s="555" t="s">
        <v>57</v>
      </c>
      <c r="C25" s="556"/>
      <c r="D25" s="361">
        <f t="shared" ref="D25:I25" si="0">SUM(D13:D24)</f>
        <v>197958766.62</v>
      </c>
      <c r="E25" s="361">
        <f t="shared" si="0"/>
        <v>103917850.41</v>
      </c>
      <c r="F25" s="361">
        <f t="shared" si="0"/>
        <v>8500000</v>
      </c>
      <c r="G25" s="362">
        <f t="shared" si="0"/>
        <v>13304140.859999999</v>
      </c>
      <c r="H25" s="363">
        <f t="shared" si="0"/>
        <v>4491999</v>
      </c>
      <c r="I25" s="364">
        <f t="shared" si="0"/>
        <v>94621710.549999997</v>
      </c>
      <c r="P25" s="368">
        <f>E25+F25-G25-H25</f>
        <v>94621710.549999997</v>
      </c>
    </row>
    <row r="26" spans="2:16" x14ac:dyDescent="0.2">
      <c r="B26" s="141"/>
      <c r="C26" s="141"/>
      <c r="D26" s="142"/>
      <c r="E26" s="142"/>
      <c r="F26" s="142"/>
      <c r="G26" s="142"/>
      <c r="H26" s="142"/>
    </row>
    <row r="27" spans="2:16" ht="13.5" thickBot="1" x14ac:dyDescent="0.25"/>
    <row r="28" spans="2:16" s="166" customFormat="1" ht="27.75" customHeight="1" thickBot="1" x14ac:dyDescent="0.25">
      <c r="B28" s="520" t="s">
        <v>58</v>
      </c>
      <c r="C28" s="521"/>
      <c r="D28" s="521"/>
      <c r="E28" s="521"/>
      <c r="F28" s="521"/>
      <c r="G28" s="521"/>
      <c r="H28" s="521"/>
      <c r="I28" s="522"/>
    </row>
    <row r="29" spans="2:16" ht="12.75" customHeight="1" x14ac:dyDescent="0.2">
      <c r="B29" s="557" t="str">
        <f>+B10</f>
        <v>ENTIDAD O AGENTE / PRÉSTAMOS</v>
      </c>
      <c r="C29" s="525" t="str">
        <f>+C10</f>
        <v>PROMOCION O INMUEBLE / RÉGIMEN</v>
      </c>
      <c r="D29" s="525" t="str">
        <f>+D10</f>
        <v>CAPITAL FORMALIZADO</v>
      </c>
      <c r="E29" s="139" t="s">
        <v>37</v>
      </c>
      <c r="F29" s="139" t="s">
        <v>38</v>
      </c>
      <c r="G29" s="139" t="s">
        <v>39</v>
      </c>
      <c r="H29" s="139" t="s">
        <v>52</v>
      </c>
      <c r="I29" s="140" t="str">
        <f>+I10</f>
        <v>(E)=(A)+(B)-(C)-(D)</v>
      </c>
    </row>
    <row r="30" spans="2:16" ht="15" customHeight="1" x14ac:dyDescent="0.2">
      <c r="B30" s="558"/>
      <c r="C30" s="551"/>
      <c r="D30" s="551"/>
      <c r="E30" s="551" t="str">
        <f>+E11</f>
        <v>CAPITAL VIVO ESTIMADO 31/12/2012</v>
      </c>
      <c r="F30" s="551" t="str">
        <f>+F11</f>
        <v>NUEVAS DISPOSICIONES/ NUEVO ENDEUDAMIENTO PREVISTO 2013</v>
      </c>
      <c r="G30" s="551" t="str">
        <f>G11</f>
        <v>AMORTIZACIONES PREVISTAS 2013</v>
      </c>
      <c r="H30" s="551" t="s">
        <v>467</v>
      </c>
      <c r="I30" s="553" t="str">
        <f>+I11</f>
        <v>CAPITAL VIVO PREVISTO 31/12/2013</v>
      </c>
    </row>
    <row r="31" spans="2:16" ht="56.25" customHeight="1" thickBot="1" x14ac:dyDescent="0.25">
      <c r="B31" s="559"/>
      <c r="C31" s="552"/>
      <c r="D31" s="552"/>
      <c r="E31" s="552"/>
      <c r="F31" s="552"/>
      <c r="G31" s="552"/>
      <c r="H31" s="552"/>
      <c r="I31" s="554"/>
    </row>
    <row r="32" spans="2:16" ht="18" customHeight="1" x14ac:dyDescent="0.2">
      <c r="B32" s="167"/>
      <c r="C32" s="168" t="s">
        <v>500</v>
      </c>
      <c r="D32" s="359">
        <v>6903077.4900000002</v>
      </c>
      <c r="E32" s="359">
        <v>4072728.84</v>
      </c>
      <c r="F32" s="359"/>
      <c r="G32" s="158">
        <v>38374.769999999997</v>
      </c>
      <c r="H32" s="360"/>
      <c r="I32" s="347">
        <f t="shared" ref="I32:I41" si="1">E32+F32-G32-H32</f>
        <v>4034354.07</v>
      </c>
    </row>
    <row r="33" spans="2:16" ht="18" customHeight="1" x14ac:dyDescent="0.2">
      <c r="B33" s="156"/>
      <c r="C33" s="157" t="s">
        <v>501</v>
      </c>
      <c r="D33" s="158">
        <v>121276969.95999999</v>
      </c>
      <c r="E33" s="158">
        <v>22565207.030000001</v>
      </c>
      <c r="F33" s="158">
        <v>1500000</v>
      </c>
      <c r="G33" s="158">
        <v>1897252.11</v>
      </c>
      <c r="H33" s="360">
        <f>4152916.8*0.6</f>
        <v>2491750.0799999996</v>
      </c>
      <c r="I33" s="347">
        <f t="shared" si="1"/>
        <v>19676204.840000004</v>
      </c>
    </row>
    <row r="34" spans="2:16" ht="18" customHeight="1" x14ac:dyDescent="0.2">
      <c r="B34" s="156"/>
      <c r="C34" s="157" t="s">
        <v>502</v>
      </c>
      <c r="D34" s="158">
        <v>340866645.79000002</v>
      </c>
      <c r="E34" s="158">
        <v>27874891</v>
      </c>
      <c r="F34" s="158">
        <v>22163572</v>
      </c>
      <c r="G34" s="158">
        <v>1711549.33</v>
      </c>
      <c r="H34" s="360">
        <f>53601359.5*0.6</f>
        <v>32160815.699999999</v>
      </c>
      <c r="I34" s="347">
        <f t="shared" si="1"/>
        <v>16166097.970000003</v>
      </c>
    </row>
    <row r="35" spans="2:16" ht="18" customHeight="1" x14ac:dyDescent="0.2">
      <c r="B35" s="156"/>
      <c r="C35" s="157" t="s">
        <v>503</v>
      </c>
      <c r="D35" s="158">
        <v>379641489.93000001</v>
      </c>
      <c r="E35" s="158">
        <v>63002654</v>
      </c>
      <c r="F35" s="158">
        <v>22000000</v>
      </c>
      <c r="G35" s="158">
        <v>1999993.73</v>
      </c>
      <c r="H35" s="360">
        <f>58718295*0.6</f>
        <v>35230977</v>
      </c>
      <c r="I35" s="347">
        <f t="shared" si="1"/>
        <v>47771683.269999996</v>
      </c>
    </row>
    <row r="36" spans="2:16" ht="18" customHeight="1" x14ac:dyDescent="0.2">
      <c r="B36" s="156"/>
      <c r="C36" s="157"/>
      <c r="D36" s="158"/>
      <c r="E36" s="158"/>
      <c r="F36" s="158"/>
      <c r="G36" s="158"/>
      <c r="H36" s="360"/>
      <c r="I36" s="347">
        <f t="shared" si="1"/>
        <v>0</v>
      </c>
    </row>
    <row r="37" spans="2:16" ht="27" customHeight="1" x14ac:dyDescent="0.2">
      <c r="B37" s="156"/>
      <c r="C37" s="157" t="s">
        <v>504</v>
      </c>
      <c r="D37" s="158">
        <f>325259810.29+30167000+16614000+2000000</f>
        <v>374040810.29000002</v>
      </c>
      <c r="E37" s="158">
        <f>326095574+30167000+16614000</f>
        <v>372876574</v>
      </c>
      <c r="F37" s="158"/>
      <c r="G37" s="158">
        <v>27829689</v>
      </c>
      <c r="H37" s="360"/>
      <c r="I37" s="347">
        <f t="shared" si="1"/>
        <v>345046885</v>
      </c>
    </row>
    <row r="38" spans="2:16" ht="18" customHeight="1" x14ac:dyDescent="0.2">
      <c r="B38" s="156"/>
      <c r="C38" s="157"/>
      <c r="D38" s="158" t="s">
        <v>515</v>
      </c>
      <c r="E38" s="158"/>
      <c r="F38" s="158"/>
      <c r="G38" s="158"/>
      <c r="H38" s="360"/>
      <c r="I38" s="347">
        <f t="shared" si="1"/>
        <v>0</v>
      </c>
      <c r="K38" s="358"/>
    </row>
    <row r="39" spans="2:16" ht="18" customHeight="1" x14ac:dyDescent="0.2">
      <c r="B39" s="159"/>
      <c r="C39" s="160"/>
      <c r="D39" s="161"/>
      <c r="E39" s="161"/>
      <c r="F39" s="161"/>
      <c r="G39" s="158"/>
      <c r="H39" s="360"/>
      <c r="I39" s="347"/>
    </row>
    <row r="40" spans="2:16" ht="18" customHeight="1" x14ac:dyDescent="0.2">
      <c r="B40" s="159"/>
      <c r="C40" s="160"/>
      <c r="D40" s="161"/>
      <c r="E40" s="161"/>
      <c r="F40" s="161"/>
      <c r="G40" s="158"/>
      <c r="H40" s="360"/>
      <c r="I40" s="347"/>
    </row>
    <row r="41" spans="2:16" ht="18" customHeight="1" x14ac:dyDescent="0.2">
      <c r="B41" s="159"/>
      <c r="C41" s="160"/>
      <c r="D41" s="161"/>
      <c r="E41" s="161"/>
      <c r="F41" s="161"/>
      <c r="G41" s="158"/>
      <c r="H41" s="360"/>
      <c r="I41" s="347">
        <f t="shared" si="1"/>
        <v>0</v>
      </c>
      <c r="M41" s="358"/>
    </row>
    <row r="42" spans="2:16" ht="18" customHeight="1" x14ac:dyDescent="0.2">
      <c r="B42" s="159"/>
      <c r="C42" s="160"/>
      <c r="D42" s="161"/>
      <c r="E42" s="161"/>
      <c r="F42" s="161"/>
      <c r="G42" s="158"/>
      <c r="H42" s="360"/>
      <c r="I42" s="350"/>
    </row>
    <row r="43" spans="2:16" ht="18" customHeight="1" thickBot="1" x14ac:dyDescent="0.25">
      <c r="B43" s="159"/>
      <c r="C43" s="160"/>
      <c r="D43" s="161"/>
      <c r="E43" s="161"/>
      <c r="F43" s="161"/>
      <c r="G43" s="158"/>
      <c r="H43" s="360"/>
      <c r="I43" s="350"/>
      <c r="J43" s="358"/>
    </row>
    <row r="44" spans="2:16" ht="18" customHeight="1" thickBot="1" x14ac:dyDescent="0.3">
      <c r="B44" s="555" t="s">
        <v>59</v>
      </c>
      <c r="C44" s="556"/>
      <c r="D44" s="361">
        <f t="shared" ref="D44:I44" si="2">SUM(D32:D43)</f>
        <v>1222728993.46</v>
      </c>
      <c r="E44" s="361">
        <f>SUM(E32:E43)</f>
        <v>490392054.87</v>
      </c>
      <c r="F44" s="361">
        <f t="shared" si="2"/>
        <v>45663572</v>
      </c>
      <c r="G44" s="362">
        <f t="shared" si="2"/>
        <v>33476858.939999998</v>
      </c>
      <c r="H44" s="363">
        <f t="shared" si="2"/>
        <v>69883542.780000001</v>
      </c>
      <c r="I44" s="364">
        <f t="shared" si="2"/>
        <v>432695225.14999998</v>
      </c>
      <c r="P44" s="368">
        <f>E44+F44-G44-H44</f>
        <v>432695225.14999998</v>
      </c>
    </row>
    <row r="45" spans="2:16" ht="15" customHeight="1" thickBot="1" x14ac:dyDescent="0.25">
      <c r="B45" s="143"/>
      <c r="C45" s="143"/>
      <c r="D45" s="365"/>
      <c r="E45" s="365"/>
      <c r="F45" s="365"/>
      <c r="G45" s="365"/>
      <c r="H45" s="365"/>
      <c r="I45" s="358"/>
    </row>
    <row r="46" spans="2:16" ht="30.75" customHeight="1" thickBot="1" x14ac:dyDescent="0.3">
      <c r="B46" s="143"/>
      <c r="C46" s="144" t="s">
        <v>60</v>
      </c>
      <c r="D46" s="361">
        <f t="shared" ref="D46:I46" si="3">D25+D44</f>
        <v>1420687760.0799999</v>
      </c>
      <c r="E46" s="361">
        <f t="shared" si="3"/>
        <v>594309905.27999997</v>
      </c>
      <c r="F46" s="361">
        <f t="shared" si="3"/>
        <v>54163572</v>
      </c>
      <c r="G46" s="361">
        <f t="shared" si="3"/>
        <v>46780999.799999997</v>
      </c>
      <c r="H46" s="361">
        <f t="shared" si="3"/>
        <v>74375541.780000001</v>
      </c>
      <c r="I46" s="366">
        <f t="shared" si="3"/>
        <v>527316935.69999999</v>
      </c>
      <c r="P46" s="368">
        <f>E46+F46-G46-H46</f>
        <v>527316935.70000005</v>
      </c>
    </row>
    <row r="47" spans="2:16" ht="21.75" customHeight="1" x14ac:dyDescent="0.3">
      <c r="B47" s="143"/>
      <c r="C47" s="489"/>
      <c r="D47" s="488"/>
      <c r="E47" s="488"/>
      <c r="F47" s="488"/>
      <c r="G47" s="488"/>
      <c r="H47" s="488"/>
      <c r="I47" s="488"/>
      <c r="P47" s="368"/>
    </row>
    <row r="48" spans="2:16" ht="62.25" customHeight="1" x14ac:dyDescent="0.25">
      <c r="C48" s="490" t="s">
        <v>516</v>
      </c>
      <c r="D48" s="491"/>
      <c r="E48" s="492">
        <v>-1550000</v>
      </c>
      <c r="F48" s="492"/>
      <c r="G48" s="492"/>
      <c r="H48" s="492"/>
      <c r="I48" s="492">
        <v>-1250000</v>
      </c>
    </row>
    <row r="49" spans="2:9" ht="16.5" x14ac:dyDescent="0.3">
      <c r="B49" s="461" t="s">
        <v>432</v>
      </c>
      <c r="E49" s="358"/>
      <c r="F49" s="358"/>
      <c r="G49" s="358"/>
      <c r="H49" s="358"/>
      <c r="I49" s="358"/>
    </row>
    <row r="50" spans="2:9" ht="16.5" x14ac:dyDescent="0.3">
      <c r="B50" s="461" t="s">
        <v>433</v>
      </c>
      <c r="E50" s="358">
        <f>+E48+E46+PASIVOS!G22</f>
        <v>653677672.82999992</v>
      </c>
      <c r="G50" s="358"/>
      <c r="I50" s="358">
        <f>+I48+I46+PASIVOS!J22</f>
        <v>574158189.24000001</v>
      </c>
    </row>
    <row r="51" spans="2:9" ht="16.5" x14ac:dyDescent="0.3">
      <c r="B51" s="461" t="s">
        <v>434</v>
      </c>
    </row>
  </sheetData>
  <mergeCells count="22">
    <mergeCell ref="B44:C44"/>
    <mergeCell ref="B29:B31"/>
    <mergeCell ref="C29:C31"/>
    <mergeCell ref="D29:D31"/>
    <mergeCell ref="I30:I31"/>
    <mergeCell ref="E30:E31"/>
    <mergeCell ref="G30:G31"/>
    <mergeCell ref="F30:F31"/>
    <mergeCell ref="H30:H31"/>
    <mergeCell ref="B28:I28"/>
    <mergeCell ref="E11:E12"/>
    <mergeCell ref="F11:F12"/>
    <mergeCell ref="G11:G12"/>
    <mergeCell ref="I11:I12"/>
    <mergeCell ref="B25:C25"/>
    <mergeCell ref="H11:H12"/>
    <mergeCell ref="D4:F4"/>
    <mergeCell ref="B10:B12"/>
    <mergeCell ref="C10:C12"/>
    <mergeCell ref="D10:D12"/>
    <mergeCell ref="B9:I9"/>
    <mergeCell ref="D5:F5"/>
  </mergeCells>
  <phoneticPr fontId="0" type="noConversion"/>
  <conditionalFormatting sqref="I25">
    <cfRule type="cellIs" dxfId="2" priority="1" stopIfTrue="1" operator="notEqual">
      <formula>$P$25</formula>
    </cfRule>
  </conditionalFormatting>
  <conditionalFormatting sqref="I44">
    <cfRule type="cellIs" dxfId="1" priority="2" stopIfTrue="1" operator="notEqual">
      <formula>$P$44</formula>
    </cfRule>
  </conditionalFormatting>
  <conditionalFormatting sqref="I46">
    <cfRule type="cellIs" dxfId="0" priority="3" stopIfTrue="1" operator="notEqual">
      <formula>$P$46</formula>
    </cfRule>
  </conditionalFormatting>
  <printOptions horizontalCentered="1" verticalCentered="1"/>
  <pageMargins left="0.74803149606299213" right="0.74803149606299213" top="0.98425196850393704" bottom="0.98425196850393704" header="0" footer="0"/>
  <pageSetup paperSize="9" scale="47"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81"/>
  <sheetViews>
    <sheetView zoomScaleNormal="75" workbookViewId="0"/>
  </sheetViews>
  <sheetFormatPr baseColWidth="10" defaultRowHeight="12.75" x14ac:dyDescent="0.2"/>
  <cols>
    <col min="1" max="1" width="11.42578125" style="29"/>
    <col min="2" max="2" width="5.7109375" style="29" customWidth="1"/>
    <col min="3" max="3" width="44.42578125" style="29" customWidth="1"/>
    <col min="4" max="6" width="20.7109375" style="29" customWidth="1"/>
    <col min="7" max="7" width="11.7109375" style="30" customWidth="1"/>
    <col min="8" max="16384" width="11.42578125" style="29"/>
  </cols>
  <sheetData>
    <row r="2" spans="2:7" ht="18" customHeight="1" x14ac:dyDescent="0.25">
      <c r="B2" s="493" t="s">
        <v>442</v>
      </c>
      <c r="C2" s="493"/>
      <c r="D2" s="493"/>
      <c r="E2" s="493"/>
      <c r="F2" s="493"/>
      <c r="G2" s="493"/>
    </row>
    <row r="3" spans="2:7" ht="18" customHeight="1" x14ac:dyDescent="0.25">
      <c r="B3" s="4" t="str">
        <f>PyG!B5</f>
        <v>CENTRO: 701</v>
      </c>
    </row>
    <row r="4" spans="2:7" ht="18" customHeight="1" x14ac:dyDescent="0.25">
      <c r="B4" s="4" t="str">
        <f>PyG!B6</f>
        <v>SECCION: 035</v>
      </c>
    </row>
    <row r="5" spans="2:7" ht="18" customHeight="1" x14ac:dyDescent="0.25">
      <c r="B5" s="4" t="str">
        <f>PyG!B7</f>
        <v>SOCIEDAD: EMPRESA MUNICIPAL DE LA VIVIENDA Y SUELO DE MADRID S.A.</v>
      </c>
      <c r="D5" s="31"/>
      <c r="E5" s="31"/>
      <c r="F5" s="31"/>
    </row>
    <row r="6" spans="2:7" ht="5.25" customHeight="1" thickBot="1" x14ac:dyDescent="0.3">
      <c r="C6" s="31"/>
      <c r="D6" s="31"/>
      <c r="E6" s="31"/>
      <c r="F6" s="31"/>
    </row>
    <row r="7" spans="2:7" ht="30" customHeight="1" x14ac:dyDescent="0.2">
      <c r="B7" s="498" t="s">
        <v>0</v>
      </c>
      <c r="C7" s="499"/>
      <c r="D7" s="45" t="s">
        <v>429</v>
      </c>
      <c r="E7" s="68">
        <v>2013</v>
      </c>
      <c r="F7" s="46" t="s">
        <v>441</v>
      </c>
      <c r="G7" s="47" t="s">
        <v>14</v>
      </c>
    </row>
    <row r="8" spans="2:7" ht="20.100000000000001" customHeight="1" x14ac:dyDescent="0.2">
      <c r="B8" s="39">
        <v>1</v>
      </c>
      <c r="C8" s="35" t="s">
        <v>17</v>
      </c>
      <c r="D8" s="48"/>
      <c r="E8" s="69"/>
      <c r="F8" s="48"/>
      <c r="G8" s="49" t="str">
        <f>IF(D8=0,"",(F8-D8)/D8)</f>
        <v/>
      </c>
    </row>
    <row r="9" spans="2:7" ht="20.100000000000001" customHeight="1" x14ac:dyDescent="0.2">
      <c r="B9" s="39">
        <v>2</v>
      </c>
      <c r="C9" s="35" t="s">
        <v>18</v>
      </c>
      <c r="D9" s="48"/>
      <c r="E9" s="69"/>
      <c r="F9" s="48"/>
      <c r="G9" s="49" t="str">
        <f>IF(D9=0,"",(F9-D9)/D9)</f>
        <v/>
      </c>
    </row>
    <row r="10" spans="2:7" ht="20.100000000000001" customHeight="1" x14ac:dyDescent="0.2">
      <c r="B10" s="39">
        <v>3</v>
      </c>
      <c r="C10" s="35" t="s">
        <v>19</v>
      </c>
      <c r="D10" s="48"/>
      <c r="E10" s="69"/>
      <c r="F10" s="48"/>
      <c r="G10" s="49" t="str">
        <f>IF(D10=0,"",(F10-D10)/D10)</f>
        <v/>
      </c>
    </row>
    <row r="11" spans="2:7" ht="20.100000000000001" customHeight="1" x14ac:dyDescent="0.2">
      <c r="B11" s="39">
        <v>4</v>
      </c>
      <c r="C11" s="35" t="s">
        <v>20</v>
      </c>
      <c r="D11" s="48">
        <v>43040207.800000004</v>
      </c>
      <c r="E11" s="69"/>
      <c r="F11" s="48">
        <f>SUM(E12:E13)</f>
        <v>32906764</v>
      </c>
      <c r="G11" s="49">
        <f>IF(D11=0,"",(F11-D11)/D11)</f>
        <v>-0.23544133074561976</v>
      </c>
    </row>
    <row r="12" spans="2:7" ht="18.75" customHeight="1" x14ac:dyDescent="0.2">
      <c r="B12" s="39"/>
      <c r="C12" s="113" t="s">
        <v>272</v>
      </c>
      <c r="D12" s="71"/>
      <c r="E12" s="79">
        <f>PyG!F33</f>
        <v>28406764</v>
      </c>
      <c r="F12" s="48"/>
      <c r="G12" s="49"/>
    </row>
    <row r="13" spans="2:7" ht="18.75" customHeight="1" x14ac:dyDescent="0.2">
      <c r="B13" s="39"/>
      <c r="C13" s="113" t="s">
        <v>273</v>
      </c>
      <c r="D13" s="71"/>
      <c r="E13" s="79">
        <f>PyG!F34</f>
        <v>4500000</v>
      </c>
      <c r="F13" s="48"/>
      <c r="G13" s="49"/>
    </row>
    <row r="14" spans="2:7" ht="20.100000000000001" customHeight="1" x14ac:dyDescent="0.2">
      <c r="B14" s="40">
        <v>5</v>
      </c>
      <c r="C14" s="36" t="s">
        <v>21</v>
      </c>
      <c r="D14" s="48">
        <v>143728260</v>
      </c>
      <c r="E14" s="69"/>
      <c r="F14" s="48">
        <f>SUM(E15:E19)</f>
        <v>117309460.84999999</v>
      </c>
      <c r="G14" s="49">
        <f>IF(D14=0,"",(F14-D14)/D14)</f>
        <v>-0.18381074918739018</v>
      </c>
    </row>
    <row r="15" spans="2:7" ht="18.75" customHeight="1" x14ac:dyDescent="0.2">
      <c r="B15" s="44"/>
      <c r="C15" s="60" t="s">
        <v>137</v>
      </c>
      <c r="D15" s="71"/>
      <c r="E15" s="70">
        <f>PyG!F13</f>
        <v>114436058.84999999</v>
      </c>
      <c r="F15" s="48"/>
      <c r="G15" s="49"/>
    </row>
    <row r="16" spans="2:7" ht="18.75" customHeight="1" x14ac:dyDescent="0.2">
      <c r="B16" s="44"/>
      <c r="C16" s="113" t="s">
        <v>274</v>
      </c>
      <c r="D16" s="71"/>
      <c r="E16" s="70">
        <f>PyG!F32</f>
        <v>1973402</v>
      </c>
      <c r="F16" s="48"/>
      <c r="G16" s="49"/>
    </row>
    <row r="17" spans="2:9" ht="18.75" customHeight="1" x14ac:dyDescent="0.2">
      <c r="B17" s="44"/>
      <c r="C17" s="61" t="s">
        <v>275</v>
      </c>
      <c r="D17" s="71"/>
      <c r="E17" s="70">
        <f>PyG!F54</f>
        <v>0</v>
      </c>
      <c r="F17" s="48"/>
      <c r="G17" s="49"/>
    </row>
    <row r="18" spans="2:9" ht="18.75" customHeight="1" x14ac:dyDescent="0.2">
      <c r="B18" s="44"/>
      <c r="C18" s="61" t="s">
        <v>358</v>
      </c>
      <c r="D18" s="71"/>
      <c r="E18" s="70">
        <f>PyG!F58+PyG!F61</f>
        <v>900000</v>
      </c>
      <c r="F18" s="48"/>
      <c r="G18" s="49"/>
    </row>
    <row r="19" spans="2:9" ht="18.75" customHeight="1" x14ac:dyDescent="0.2">
      <c r="B19" s="44"/>
      <c r="C19" s="341" t="s">
        <v>397</v>
      </c>
      <c r="D19" s="71"/>
      <c r="E19" s="70">
        <f>IF(PyG!F89&lt;0,ABS(PyG!F89),0)</f>
        <v>0</v>
      </c>
      <c r="F19" s="48"/>
      <c r="G19" s="49"/>
    </row>
    <row r="20" spans="2:9" ht="20.100000000000001" customHeight="1" x14ac:dyDescent="0.2">
      <c r="B20" s="494" t="s">
        <v>22</v>
      </c>
      <c r="C20" s="495"/>
      <c r="D20" s="54">
        <f>D8+D9+D10+D11+D14</f>
        <v>186768467.80000001</v>
      </c>
      <c r="E20" s="73"/>
      <c r="F20" s="55">
        <f>F8+F9+F10+F11+F14</f>
        <v>150216224.84999999</v>
      </c>
      <c r="G20" s="50">
        <f>IF(D20=0,"",(F20-D20)/D20)</f>
        <v>-0.19570885482201303</v>
      </c>
      <c r="H20" s="32"/>
      <c r="I20" s="32"/>
    </row>
    <row r="21" spans="2:9" ht="20.100000000000001" customHeight="1" x14ac:dyDescent="0.2">
      <c r="B21" s="41">
        <v>6</v>
      </c>
      <c r="C21" s="37" t="s">
        <v>23</v>
      </c>
      <c r="D21" s="48">
        <v>49776437</v>
      </c>
      <c r="E21" s="69"/>
      <c r="F21" s="48">
        <f>SUM(E22:E25)</f>
        <v>50852597.799999997</v>
      </c>
      <c r="G21" s="49">
        <f>IF(D21=0,"",(F21-D21)/D21)</f>
        <v>2.1619884123084122E-2</v>
      </c>
    </row>
    <row r="22" spans="2:9" ht="18.75" customHeight="1" x14ac:dyDescent="0.2">
      <c r="B22" s="62"/>
      <c r="C22" s="66" t="s">
        <v>359</v>
      </c>
      <c r="D22" s="71"/>
      <c r="E22" s="72">
        <f>PAIF!I40</f>
        <v>0</v>
      </c>
      <c r="F22" s="48"/>
      <c r="G22" s="49"/>
    </row>
    <row r="23" spans="2:9" ht="18.75" customHeight="1" x14ac:dyDescent="0.2">
      <c r="B23" s="62"/>
      <c r="C23" s="66" t="s">
        <v>360</v>
      </c>
      <c r="D23" s="71"/>
      <c r="E23" s="72">
        <f>PAIF!I41</f>
        <v>21058073</v>
      </c>
      <c r="F23" s="48"/>
      <c r="G23" s="49"/>
    </row>
    <row r="24" spans="2:9" ht="18.75" customHeight="1" x14ac:dyDescent="0.2">
      <c r="B24" s="62"/>
      <c r="C24" s="66" t="s">
        <v>361</v>
      </c>
      <c r="D24" s="71"/>
      <c r="E24" s="72">
        <f>PAIF!I42</f>
        <v>29794524.800000001</v>
      </c>
      <c r="F24" s="48"/>
      <c r="G24" s="49"/>
    </row>
    <row r="25" spans="2:9" ht="18.75" customHeight="1" x14ac:dyDescent="0.2">
      <c r="B25" s="62"/>
      <c r="C25" s="66" t="s">
        <v>362</v>
      </c>
      <c r="D25" s="71"/>
      <c r="E25" s="72">
        <f>PAIF!I44</f>
        <v>0</v>
      </c>
      <c r="F25" s="48"/>
      <c r="G25" s="49"/>
    </row>
    <row r="26" spans="2:9" ht="20.100000000000001" customHeight="1" x14ac:dyDescent="0.2">
      <c r="B26" s="42">
        <v>7</v>
      </c>
      <c r="C26" s="36" t="s">
        <v>24</v>
      </c>
      <c r="D26" s="48">
        <v>8477667</v>
      </c>
      <c r="E26" s="69"/>
      <c r="F26" s="48">
        <f>E27</f>
        <v>8400000</v>
      </c>
      <c r="G26" s="49">
        <f>IF(D26=0,"",(F26-D26)/D26)</f>
        <v>-9.1613647952909685E-3</v>
      </c>
    </row>
    <row r="27" spans="2:9" ht="18.75" customHeight="1" x14ac:dyDescent="0.2">
      <c r="B27" s="65"/>
      <c r="C27" s="274" t="s">
        <v>363</v>
      </c>
      <c r="D27" s="71"/>
      <c r="E27" s="74">
        <f>PAIF!I29-PAIF!I32</f>
        <v>8400000</v>
      </c>
      <c r="F27" s="48"/>
      <c r="G27" s="49"/>
    </row>
    <row r="28" spans="2:9" ht="20.100000000000001" customHeight="1" x14ac:dyDescent="0.2">
      <c r="B28" s="494" t="s">
        <v>25</v>
      </c>
      <c r="C28" s="495"/>
      <c r="D28" s="54">
        <f>D21+D26</f>
        <v>58254104</v>
      </c>
      <c r="E28" s="73"/>
      <c r="F28" s="55">
        <f>F21+F26</f>
        <v>59252597.799999997</v>
      </c>
      <c r="G28" s="50">
        <f>IF(D28=0,"",(F28-D28)/D28)</f>
        <v>1.7140316843599502E-2</v>
      </c>
      <c r="H28" s="32"/>
    </row>
    <row r="29" spans="2:9" ht="20.100000000000001" customHeight="1" x14ac:dyDescent="0.2">
      <c r="B29" s="496" t="s">
        <v>26</v>
      </c>
      <c r="C29" s="497"/>
      <c r="D29" s="54">
        <f>+D20+D28</f>
        <v>245022571.80000001</v>
      </c>
      <c r="E29" s="75"/>
      <c r="F29" s="55">
        <f>+F20+F28</f>
        <v>209468822.64999998</v>
      </c>
      <c r="G29" s="50">
        <f>IF(D29=0,"",(F29-D29)/D29)</f>
        <v>-0.14510397506977776</v>
      </c>
      <c r="H29" s="32"/>
    </row>
    <row r="30" spans="2:9" ht="20.100000000000001" customHeight="1" x14ac:dyDescent="0.2">
      <c r="B30" s="43">
        <v>8</v>
      </c>
      <c r="C30" s="37" t="s">
        <v>27</v>
      </c>
      <c r="D30" s="48">
        <v>34514141.870000005</v>
      </c>
      <c r="E30" s="69"/>
      <c r="F30" s="48">
        <f>SUM(E31:E34)</f>
        <v>0</v>
      </c>
      <c r="G30" s="49">
        <f>IF(D30=0,"",(F30-D30)/D30)</f>
        <v>-1</v>
      </c>
    </row>
    <row r="31" spans="2:9" ht="18.75" customHeight="1" x14ac:dyDescent="0.2">
      <c r="B31" s="58"/>
      <c r="C31" s="67" t="s">
        <v>364</v>
      </c>
      <c r="D31" s="71"/>
      <c r="E31" s="74">
        <f>PAIF!I43</f>
        <v>0</v>
      </c>
      <c r="F31" s="48"/>
      <c r="G31" s="49"/>
    </row>
    <row r="32" spans="2:9" ht="18.75" customHeight="1" x14ac:dyDescent="0.2">
      <c r="B32" s="58"/>
      <c r="C32" s="66" t="s">
        <v>365</v>
      </c>
      <c r="D32" s="71"/>
      <c r="E32" s="74">
        <f>PAIF!I45</f>
        <v>0</v>
      </c>
      <c r="F32" s="48"/>
      <c r="G32" s="49"/>
    </row>
    <row r="33" spans="2:8" ht="18.75" customHeight="1" x14ac:dyDescent="0.2">
      <c r="B33" s="58"/>
      <c r="C33" s="275" t="s">
        <v>400</v>
      </c>
      <c r="D33" s="71"/>
      <c r="E33" s="74">
        <f>PAIF!I50</f>
        <v>0</v>
      </c>
      <c r="F33" s="48"/>
      <c r="G33" s="49"/>
    </row>
    <row r="34" spans="2:8" ht="18.75" customHeight="1" x14ac:dyDescent="0.2">
      <c r="B34" s="58"/>
      <c r="C34" s="275" t="s">
        <v>277</v>
      </c>
      <c r="D34" s="71"/>
      <c r="E34" s="74"/>
      <c r="F34" s="48"/>
      <c r="G34" s="49"/>
    </row>
    <row r="35" spans="2:8" ht="20.100000000000001" customHeight="1" x14ac:dyDescent="0.2">
      <c r="B35" s="44">
        <v>9</v>
      </c>
      <c r="C35" s="36" t="s">
        <v>28</v>
      </c>
      <c r="D35" s="48">
        <v>143262154</v>
      </c>
      <c r="E35" s="69"/>
      <c r="F35" s="48">
        <f>SUM(E36:E37)</f>
        <v>54996302</v>
      </c>
      <c r="G35" s="49">
        <f>IF(D35=0,"",(F35-D35)/D35)</f>
        <v>-0.6161142320951003</v>
      </c>
    </row>
    <row r="36" spans="2:8" ht="18.75" customHeight="1" x14ac:dyDescent="0.2">
      <c r="B36" s="44"/>
      <c r="C36" s="274" t="s">
        <v>366</v>
      </c>
      <c r="D36" s="71"/>
      <c r="E36" s="81">
        <f>PAIF!I25</f>
        <v>0</v>
      </c>
      <c r="F36" s="48"/>
      <c r="G36" s="49"/>
    </row>
    <row r="37" spans="2:8" ht="18.75" customHeight="1" x14ac:dyDescent="0.2">
      <c r="B37" s="44"/>
      <c r="C37" s="274" t="s">
        <v>367</v>
      </c>
      <c r="D37" s="71"/>
      <c r="E37" s="81">
        <f>PAIF!I34</f>
        <v>54996302</v>
      </c>
      <c r="F37" s="48"/>
      <c r="G37" s="49"/>
    </row>
    <row r="38" spans="2:8" ht="20.100000000000001" customHeight="1" x14ac:dyDescent="0.2">
      <c r="B38" s="496" t="s">
        <v>29</v>
      </c>
      <c r="C38" s="497"/>
      <c r="D38" s="54">
        <f>D30+D35</f>
        <v>177776295.87</v>
      </c>
      <c r="E38" s="75"/>
      <c r="F38" s="55">
        <f>F30+F35</f>
        <v>54996302</v>
      </c>
      <c r="G38" s="50">
        <f>IF(D38=0,"",(F38-D38)/D38)</f>
        <v>-0.69064322253504273</v>
      </c>
      <c r="H38" s="32"/>
    </row>
    <row r="39" spans="2:8" ht="20.100000000000001" customHeight="1" thickBot="1" x14ac:dyDescent="0.25">
      <c r="B39" s="500" t="s">
        <v>6</v>
      </c>
      <c r="C39" s="501"/>
      <c r="D39" s="53">
        <f>+D29+D38</f>
        <v>422798867.67000002</v>
      </c>
      <c r="E39" s="76"/>
      <c r="F39" s="52">
        <f>+F29+F38</f>
        <v>264465124.64999998</v>
      </c>
      <c r="G39" s="51">
        <f>IF(D39=0,"",(F39-D39)/D39)</f>
        <v>-0.37448951529260383</v>
      </c>
      <c r="H39" s="32"/>
    </row>
    <row r="40" spans="2:8" s="82" customFormat="1" ht="20.100000000000001" customHeight="1" x14ac:dyDescent="0.2">
      <c r="B40" s="83"/>
      <c r="C40" s="83"/>
      <c r="D40" s="85"/>
      <c r="E40" s="84"/>
      <c r="F40" s="85"/>
      <c r="G40" s="86"/>
      <c r="H40" s="87"/>
    </row>
    <row r="41" spans="2:8" ht="20.100000000000001" customHeight="1" thickBot="1" x14ac:dyDescent="0.25">
      <c r="B41" s="33"/>
      <c r="C41" s="33"/>
      <c r="D41" s="33"/>
      <c r="E41" s="33"/>
      <c r="F41" s="33"/>
      <c r="G41" s="34"/>
    </row>
    <row r="42" spans="2:8" ht="30" customHeight="1" x14ac:dyDescent="0.2">
      <c r="B42" s="498" t="s">
        <v>1</v>
      </c>
      <c r="C42" s="499"/>
      <c r="D42" s="45" t="str">
        <f>D7</f>
        <v>2012</v>
      </c>
      <c r="E42" s="68">
        <f>E7</f>
        <v>2013</v>
      </c>
      <c r="F42" s="46" t="str">
        <f>F7</f>
        <v>2013</v>
      </c>
      <c r="G42" s="47" t="s">
        <v>14</v>
      </c>
    </row>
    <row r="43" spans="2:8" ht="20.100000000000001" customHeight="1" x14ac:dyDescent="0.2">
      <c r="B43" s="39">
        <v>1</v>
      </c>
      <c r="C43" s="38" t="s">
        <v>30</v>
      </c>
      <c r="D43" s="48">
        <v>16741374.9</v>
      </c>
      <c r="E43" s="77"/>
      <c r="F43" s="48">
        <f>SUM(E44:E46)</f>
        <v>15598408.539999999</v>
      </c>
      <c r="G43" s="49">
        <f>IF(D43=0,"",(F43-D43)/D43)</f>
        <v>-6.8271952980397163E-2</v>
      </c>
    </row>
    <row r="44" spans="2:8" ht="18.75" customHeight="1" x14ac:dyDescent="0.2">
      <c r="B44" s="39"/>
      <c r="C44" s="56" t="s">
        <v>356</v>
      </c>
      <c r="D44" s="71"/>
      <c r="E44" s="78">
        <f>ABS(PyG!F36)</f>
        <v>12382943</v>
      </c>
      <c r="F44" s="48"/>
      <c r="G44" s="49"/>
    </row>
    <row r="45" spans="2:8" ht="18.75" customHeight="1" x14ac:dyDescent="0.2">
      <c r="B45" s="39"/>
      <c r="C45" s="340" t="s">
        <v>357</v>
      </c>
      <c r="D45" s="71"/>
      <c r="E45" s="78">
        <f>ABS(PyG!F37)</f>
        <v>3215465.54</v>
      </c>
      <c r="F45" s="48"/>
      <c r="G45" s="49"/>
    </row>
    <row r="46" spans="2:8" ht="18.75" customHeight="1" x14ac:dyDescent="0.2">
      <c r="B46" s="39"/>
      <c r="C46" s="274" t="s">
        <v>402</v>
      </c>
      <c r="D46" s="71"/>
      <c r="E46" s="74">
        <f>PAIF!E45</f>
        <v>0</v>
      </c>
      <c r="F46" s="48"/>
      <c r="G46" s="49"/>
    </row>
    <row r="47" spans="2:8" ht="20.100000000000001" customHeight="1" x14ac:dyDescent="0.2">
      <c r="B47" s="39">
        <v>2</v>
      </c>
      <c r="C47" s="38" t="s">
        <v>31</v>
      </c>
      <c r="D47" s="48">
        <v>185444408.77000001</v>
      </c>
      <c r="E47" s="77"/>
      <c r="F47" s="48">
        <f>SUM(E48:E56)</f>
        <v>59738622.439999968</v>
      </c>
      <c r="G47" s="49">
        <f>IF(D47=0,"",(F47-D47)/D47)</f>
        <v>-0.67786236944953338</v>
      </c>
    </row>
    <row r="48" spans="2:8" ht="18.75" customHeight="1" x14ac:dyDescent="0.2">
      <c r="B48" s="39"/>
      <c r="C48" s="342" t="s">
        <v>142</v>
      </c>
      <c r="D48" s="71"/>
      <c r="E48" s="78">
        <f>-PyG!F24</f>
        <v>40891983.280000001</v>
      </c>
      <c r="F48" s="48"/>
      <c r="G48" s="49"/>
    </row>
    <row r="49" spans="2:7" ht="18.75" customHeight="1" x14ac:dyDescent="0.2">
      <c r="B49" s="39"/>
      <c r="C49" s="56" t="s">
        <v>265</v>
      </c>
      <c r="D49" s="71"/>
      <c r="E49" s="78">
        <f>-(PyG!F27+PyG!F28+PyG!F29)</f>
        <v>36774503</v>
      </c>
      <c r="F49" s="48"/>
      <c r="G49" s="49"/>
    </row>
    <row r="50" spans="2:7" ht="18.75" customHeight="1" x14ac:dyDescent="0.2">
      <c r="B50" s="39"/>
      <c r="C50" s="343" t="s">
        <v>374</v>
      </c>
      <c r="D50" s="71"/>
      <c r="E50" s="447">
        <f>(BAL!H35-BAL!H41)-(BAL!G35-BAL!G41)</f>
        <v>-47091982.840000033</v>
      </c>
      <c r="F50" s="48"/>
      <c r="G50" s="49"/>
    </row>
    <row r="51" spans="2:7" ht="18.75" customHeight="1" x14ac:dyDescent="0.2">
      <c r="B51" s="39"/>
      <c r="C51" s="56" t="s">
        <v>266</v>
      </c>
      <c r="D51" s="71"/>
      <c r="E51" s="78">
        <f>ABS(PyG!F40)</f>
        <v>19144119</v>
      </c>
      <c r="F51" s="48"/>
      <c r="G51" s="49"/>
    </row>
    <row r="52" spans="2:7" ht="18.75" customHeight="1" x14ac:dyDescent="0.2">
      <c r="B52" s="39"/>
      <c r="C52" s="57" t="s">
        <v>267</v>
      </c>
      <c r="D52" s="71"/>
      <c r="E52" s="80">
        <f>ABS(PyG!F41)</f>
        <v>10000000</v>
      </c>
      <c r="F52" s="48"/>
      <c r="G52" s="49"/>
    </row>
    <row r="53" spans="2:7" ht="18.75" customHeight="1" x14ac:dyDescent="0.2">
      <c r="B53" s="39"/>
      <c r="C53" s="56" t="s">
        <v>268</v>
      </c>
      <c r="D53" s="71"/>
      <c r="E53" s="78">
        <f>ABS(PyG!F43)</f>
        <v>0</v>
      </c>
      <c r="F53" s="48"/>
      <c r="G53" s="49"/>
    </row>
    <row r="54" spans="2:7" ht="18.75" customHeight="1" x14ac:dyDescent="0.2">
      <c r="B54" s="39"/>
      <c r="C54" s="59" t="s">
        <v>271</v>
      </c>
      <c r="D54" s="71"/>
      <c r="E54" s="78">
        <f>ABS(PyG!F55)</f>
        <v>0</v>
      </c>
      <c r="F54" s="48"/>
      <c r="G54" s="49"/>
    </row>
    <row r="55" spans="2:7" ht="18.75" customHeight="1" x14ac:dyDescent="0.2">
      <c r="B55" s="39"/>
      <c r="C55" s="341" t="s">
        <v>396</v>
      </c>
      <c r="D55" s="71"/>
      <c r="E55" s="70">
        <f>IF(PyG!F89&gt;0,PyG!F89,0)</f>
        <v>20000</v>
      </c>
      <c r="F55" s="48"/>
      <c r="G55" s="49"/>
    </row>
    <row r="56" spans="2:7" ht="20.100000000000001" customHeight="1" x14ac:dyDescent="0.2">
      <c r="B56" s="39"/>
      <c r="C56" s="64" t="s">
        <v>403</v>
      </c>
      <c r="D56" s="71"/>
      <c r="E56" s="72">
        <f>PAIF!E46</f>
        <v>0</v>
      </c>
      <c r="F56" s="48"/>
      <c r="G56" s="49"/>
    </row>
    <row r="57" spans="2:7" ht="20.100000000000001" customHeight="1" x14ac:dyDescent="0.2">
      <c r="B57" s="39">
        <v>3</v>
      </c>
      <c r="C57" s="38" t="s">
        <v>32</v>
      </c>
      <c r="D57" s="48">
        <v>35000000</v>
      </c>
      <c r="E57" s="77"/>
      <c r="F57" s="48">
        <f>SUM(E58:E60)</f>
        <v>28000000</v>
      </c>
      <c r="G57" s="49">
        <f>IF(D57=0,"",(F57-D57)/D57)</f>
        <v>-0.2</v>
      </c>
    </row>
    <row r="58" spans="2:7" ht="20.100000000000001" customHeight="1" x14ac:dyDescent="0.2">
      <c r="B58" s="39"/>
      <c r="C58" s="59" t="s">
        <v>415</v>
      </c>
      <c r="D58" s="71"/>
      <c r="E58" s="78">
        <f>ABS(PyG!F66)</f>
        <v>0</v>
      </c>
      <c r="F58" s="48"/>
      <c r="G58" s="49"/>
    </row>
    <row r="59" spans="2:7" ht="20.100000000000001" customHeight="1" x14ac:dyDescent="0.2">
      <c r="B59" s="39"/>
      <c r="C59" s="59" t="s">
        <v>416</v>
      </c>
      <c r="D59" s="71"/>
      <c r="E59" s="78">
        <f>ABS(PyG!F67)</f>
        <v>28000000</v>
      </c>
      <c r="F59" s="48"/>
      <c r="G59" s="49"/>
    </row>
    <row r="60" spans="2:7" ht="20.100000000000001" customHeight="1" x14ac:dyDescent="0.2">
      <c r="B60" s="39"/>
      <c r="C60" s="64" t="s">
        <v>375</v>
      </c>
      <c r="D60" s="71"/>
      <c r="E60" s="74">
        <f>PAIF!E37</f>
        <v>0</v>
      </c>
      <c r="F60" s="48"/>
      <c r="G60" s="49"/>
    </row>
    <row r="61" spans="2:7" ht="20.100000000000001" customHeight="1" x14ac:dyDescent="0.2">
      <c r="B61" s="39">
        <v>4</v>
      </c>
      <c r="C61" s="38" t="s">
        <v>20</v>
      </c>
      <c r="D61" s="48"/>
      <c r="E61" s="77"/>
      <c r="F61" s="48"/>
      <c r="G61" s="49" t="str">
        <f>IF(D61=0,"",(F61-D61)/D61)</f>
        <v/>
      </c>
    </row>
    <row r="62" spans="2:7" ht="20.100000000000001" customHeight="1" x14ac:dyDescent="0.2">
      <c r="B62" s="494" t="s">
        <v>22</v>
      </c>
      <c r="C62" s="495"/>
      <c r="D62" s="54">
        <f>SUM(D43:D61)</f>
        <v>237185783.67000002</v>
      </c>
      <c r="E62" s="73"/>
      <c r="F62" s="55">
        <f>F43+F47+F57+F61</f>
        <v>103337030.97999996</v>
      </c>
      <c r="G62" s="50">
        <f>IF(D62=0,"",(F62-D62)/D62)</f>
        <v>-0.56432030039467185</v>
      </c>
    </row>
    <row r="63" spans="2:7" ht="20.100000000000001" customHeight="1" x14ac:dyDescent="0.2">
      <c r="B63" s="41">
        <v>6</v>
      </c>
      <c r="C63" s="37" t="s">
        <v>33</v>
      </c>
      <c r="D63" s="48">
        <v>81778721</v>
      </c>
      <c r="E63" s="69"/>
      <c r="F63" s="48">
        <f>SUM(E64:E66)-PyG!F25-PyG!F64</f>
        <v>9191215</v>
      </c>
      <c r="G63" s="49">
        <f>IF(D63=0,"",(F63-D63)/D63)</f>
        <v>-0.88760872158907944</v>
      </c>
    </row>
    <row r="64" spans="2:7" ht="20.100000000000001" customHeight="1" x14ac:dyDescent="0.2">
      <c r="B64" s="62"/>
      <c r="C64" s="63" t="s">
        <v>368</v>
      </c>
      <c r="D64" s="71"/>
      <c r="E64" s="74">
        <f>PAIF!E12-PAIF!I32</f>
        <v>925000</v>
      </c>
      <c r="F64" s="48"/>
      <c r="G64" s="49"/>
    </row>
    <row r="65" spans="2:7" ht="20.100000000000001" customHeight="1" x14ac:dyDescent="0.2">
      <c r="B65" s="62"/>
      <c r="C65" s="63" t="s">
        <v>369</v>
      </c>
      <c r="D65" s="71"/>
      <c r="E65" s="74">
        <f>PAIF!E17</f>
        <v>0</v>
      </c>
      <c r="F65" s="48"/>
      <c r="G65" s="49"/>
    </row>
    <row r="66" spans="2:7" ht="20.100000000000001" customHeight="1" x14ac:dyDescent="0.2">
      <c r="B66" s="62"/>
      <c r="C66" s="63" t="s">
        <v>370</v>
      </c>
      <c r="D66" s="71"/>
      <c r="E66" s="74">
        <f>PAIF!E23</f>
        <v>8266215</v>
      </c>
      <c r="F66" s="48"/>
      <c r="G66" s="49"/>
    </row>
    <row r="67" spans="2:7" ht="20.100000000000001" customHeight="1" x14ac:dyDescent="0.2">
      <c r="B67" s="42">
        <v>7</v>
      </c>
      <c r="C67" s="36" t="s">
        <v>24</v>
      </c>
      <c r="D67" s="48"/>
      <c r="E67" s="69"/>
      <c r="F67" s="48"/>
      <c r="G67" s="49" t="str">
        <f>IF(D67=0,"",(F67-D67)/D67)</f>
        <v/>
      </c>
    </row>
    <row r="68" spans="2:7" ht="20.100000000000001" customHeight="1" x14ac:dyDescent="0.2">
      <c r="B68" s="494" t="s">
        <v>25</v>
      </c>
      <c r="C68" s="495"/>
      <c r="D68" s="54">
        <f>SUM(D63:D67)</f>
        <v>81778721</v>
      </c>
      <c r="E68" s="73"/>
      <c r="F68" s="55">
        <f>F63+F67</f>
        <v>9191215</v>
      </c>
      <c r="G68" s="50">
        <f>IF(D68=0,"",(F68-D68)/D68)</f>
        <v>-0.88760872158907944</v>
      </c>
    </row>
    <row r="69" spans="2:7" ht="20.100000000000001" customHeight="1" x14ac:dyDescent="0.2">
      <c r="B69" s="496" t="s">
        <v>26</v>
      </c>
      <c r="C69" s="497"/>
      <c r="D69" s="54">
        <f>+D62+D68</f>
        <v>318964504.67000002</v>
      </c>
      <c r="E69" s="75"/>
      <c r="F69" s="55">
        <f>+F62+F68</f>
        <v>112528245.97999996</v>
      </c>
      <c r="G69" s="50">
        <f>IF(D69=0,"",(F69-D69)/D69)</f>
        <v>-0.64720762237659812</v>
      </c>
    </row>
    <row r="70" spans="2:7" ht="20.100000000000001" customHeight="1" x14ac:dyDescent="0.2">
      <c r="B70" s="43">
        <v>8</v>
      </c>
      <c r="C70" s="37" t="s">
        <v>27</v>
      </c>
      <c r="D70" s="48">
        <v>1220000</v>
      </c>
      <c r="E70" s="69"/>
      <c r="F70" s="48">
        <f>SUM(E71:E73)</f>
        <v>17765162.24000001</v>
      </c>
      <c r="G70" s="49">
        <f>IF(D70=0,"",(F70-D70)/D70)</f>
        <v>13.561608393442631</v>
      </c>
    </row>
    <row r="71" spans="2:7" ht="20.100000000000001" customHeight="1" x14ac:dyDescent="0.2">
      <c r="B71" s="58"/>
      <c r="C71" s="63" t="s">
        <v>371</v>
      </c>
      <c r="D71" s="71"/>
      <c r="E71" s="74">
        <f>PAIF!E26</f>
        <v>4104940</v>
      </c>
      <c r="F71" s="48"/>
      <c r="G71" s="49"/>
    </row>
    <row r="72" spans="2:7" ht="20.100000000000001" customHeight="1" x14ac:dyDescent="0.2">
      <c r="B72" s="58"/>
      <c r="C72" s="272" t="s">
        <v>401</v>
      </c>
      <c r="D72" s="71"/>
      <c r="E72" s="74">
        <f>PAIF!E50</f>
        <v>13660222.24000001</v>
      </c>
      <c r="F72" s="48"/>
      <c r="G72" s="49"/>
    </row>
    <row r="73" spans="2:7" ht="20.100000000000001" customHeight="1" x14ac:dyDescent="0.2">
      <c r="B73" s="58"/>
      <c r="C73" s="275" t="s">
        <v>277</v>
      </c>
      <c r="D73" s="71"/>
      <c r="E73" s="74"/>
      <c r="F73" s="48"/>
      <c r="G73" s="49"/>
    </row>
    <row r="74" spans="2:7" ht="20.100000000000001" customHeight="1" x14ac:dyDescent="0.2">
      <c r="B74" s="44">
        <v>9</v>
      </c>
      <c r="C74" s="36" t="s">
        <v>28</v>
      </c>
      <c r="D74" s="48">
        <v>102614363</v>
      </c>
      <c r="E74" s="69"/>
      <c r="F74" s="48">
        <f>SUM(E75:E76)</f>
        <v>134151716</v>
      </c>
      <c r="G74" s="49">
        <f>IF(D74=0,"",(F74-D74)/D74)</f>
        <v>0.30733858378090795</v>
      </c>
    </row>
    <row r="75" spans="2:7" ht="20.100000000000001" customHeight="1" x14ac:dyDescent="0.2">
      <c r="B75" s="44"/>
      <c r="C75" s="273" t="s">
        <v>372</v>
      </c>
      <c r="D75" s="71"/>
      <c r="E75" s="81">
        <f>PAIF!E35</f>
        <v>0</v>
      </c>
      <c r="F75" s="48"/>
      <c r="G75" s="49"/>
    </row>
    <row r="76" spans="2:7" ht="20.100000000000001" customHeight="1" x14ac:dyDescent="0.2">
      <c r="B76" s="44"/>
      <c r="C76" s="273" t="s">
        <v>373</v>
      </c>
      <c r="D76" s="71"/>
      <c r="E76" s="81">
        <f>PAIF!E39</f>
        <v>134151716</v>
      </c>
      <c r="F76" s="48"/>
      <c r="G76" s="49"/>
    </row>
    <row r="77" spans="2:7" ht="20.100000000000001" customHeight="1" x14ac:dyDescent="0.2">
      <c r="B77" s="496" t="s">
        <v>29</v>
      </c>
      <c r="C77" s="497"/>
      <c r="D77" s="54">
        <f>SUM(D70:D74)</f>
        <v>103834363</v>
      </c>
      <c r="E77" s="75"/>
      <c r="F77" s="55">
        <f>F70+F74</f>
        <v>151916878.24000001</v>
      </c>
      <c r="G77" s="50">
        <f>IF(D77=0,"",(F77-D77)/D77)</f>
        <v>0.46306939100690597</v>
      </c>
    </row>
    <row r="78" spans="2:7" ht="20.100000000000001" customHeight="1" thickBot="1" x14ac:dyDescent="0.25">
      <c r="B78" s="500" t="s">
        <v>6</v>
      </c>
      <c r="C78" s="501"/>
      <c r="D78" s="52">
        <f>+D77+D69</f>
        <v>422798867.67000002</v>
      </c>
      <c r="E78" s="76"/>
      <c r="F78" s="52">
        <f>+F77+F69</f>
        <v>264445124.21999997</v>
      </c>
      <c r="G78" s="51">
        <f>IF(D78=0,"",(F78-D78)/D78)</f>
        <v>-0.37453682012601131</v>
      </c>
    </row>
    <row r="81" spans="4:6" x14ac:dyDescent="0.2">
      <c r="D81" s="29">
        <f>+D39-D78</f>
        <v>0</v>
      </c>
      <c r="F81" s="29">
        <f>+F39-F78</f>
        <v>20000.430000007153</v>
      </c>
    </row>
  </sheetData>
  <sheetProtection password="CE88" sheet="1" objects="1" scenarios="1"/>
  <mergeCells count="13">
    <mergeCell ref="B2:G2"/>
    <mergeCell ref="B20:C20"/>
    <mergeCell ref="B28:C28"/>
    <mergeCell ref="B77:C77"/>
    <mergeCell ref="B29:C29"/>
    <mergeCell ref="B38:C38"/>
    <mergeCell ref="B7:C7"/>
    <mergeCell ref="B78:C78"/>
    <mergeCell ref="B39:C39"/>
    <mergeCell ref="B62:C62"/>
    <mergeCell ref="B68:C68"/>
    <mergeCell ref="B69:C69"/>
    <mergeCell ref="B42:C42"/>
  </mergeCells>
  <phoneticPr fontId="0" type="noConversion"/>
  <printOptions horizontalCentered="1" verticalCentered="1"/>
  <pageMargins left="0.75" right="0.75" top="1" bottom="1" header="0" footer="0"/>
  <pageSetup paperSize="9" scale="95" orientation="portrait" cellComments="asDisplayed" r:id="rId1"/>
  <headerFooter alignWithMargins="0">
    <oddFooter>&amp;C&amp;D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heetViews>
  <sheetFormatPr baseColWidth="10" defaultRowHeight="12.75" x14ac:dyDescent="0.2"/>
  <cols>
    <col min="1" max="1" width="137.28515625" customWidth="1"/>
  </cols>
  <sheetData>
    <row r="1" spans="1:1" ht="18" customHeight="1" x14ac:dyDescent="0.25">
      <c r="A1" s="407" t="s">
        <v>443</v>
      </c>
    </row>
    <row r="2" spans="1:1" ht="54.75" customHeight="1" x14ac:dyDescent="0.2">
      <c r="A2" s="408" t="s">
        <v>438</v>
      </c>
    </row>
    <row r="3" spans="1:1" ht="15.75" customHeight="1" x14ac:dyDescent="0.2">
      <c r="A3" s="409" t="s">
        <v>405</v>
      </c>
    </row>
    <row r="4" spans="1:1" ht="26.25" customHeight="1" x14ac:dyDescent="0.2">
      <c r="A4" s="408" t="s">
        <v>407</v>
      </c>
    </row>
    <row r="5" spans="1:1" ht="13.5" x14ac:dyDescent="0.2">
      <c r="A5" s="408" t="s">
        <v>408</v>
      </c>
    </row>
    <row r="6" spans="1:1" ht="18" customHeight="1" x14ac:dyDescent="0.2">
      <c r="A6" s="409" t="s">
        <v>406</v>
      </c>
    </row>
    <row r="7" spans="1:1" ht="27" x14ac:dyDescent="0.2">
      <c r="A7" s="408" t="s">
        <v>409</v>
      </c>
    </row>
    <row r="8" spans="1:1" ht="40.5" x14ac:dyDescent="0.2">
      <c r="A8" s="408" t="s">
        <v>410</v>
      </c>
    </row>
    <row r="9" spans="1:1" ht="27" x14ac:dyDescent="0.2">
      <c r="A9" s="408" t="s">
        <v>437</v>
      </c>
    </row>
    <row r="10" spans="1:1" ht="27" x14ac:dyDescent="0.2">
      <c r="A10" s="408" t="s">
        <v>411</v>
      </c>
    </row>
    <row r="11" spans="1:1" ht="40.5" x14ac:dyDescent="0.2">
      <c r="A11" s="408" t="s">
        <v>412</v>
      </c>
    </row>
    <row r="12" spans="1:1" ht="27" x14ac:dyDescent="0.2">
      <c r="A12" s="408" t="s">
        <v>444</v>
      </c>
    </row>
    <row r="13" spans="1:1" ht="29.25" customHeight="1" x14ac:dyDescent="0.2">
      <c r="A13" s="408" t="s">
        <v>436</v>
      </c>
    </row>
    <row r="14" spans="1:1" s="404" customFormat="1" ht="28.5" customHeight="1" x14ac:dyDescent="0.2">
      <c r="A14" s="462" t="s">
        <v>435</v>
      </c>
    </row>
  </sheetData>
  <sheetProtection password="CE88" sheet="1" objects="1" scenarios="1"/>
  <phoneticPr fontId="0" type="noConversion"/>
  <hyperlinks>
    <hyperlink ref="A14" r:id="rId1" display="mailto:sgopempresas@munimadrid.es"/>
  </hyperlinks>
  <pageMargins left="0.75" right="0.75" top="1" bottom="1" header="0" footer="0"/>
  <pageSetup paperSize="9" orientation="portrait" horizontalDpi="0" verticalDpi="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N400"/>
  <sheetViews>
    <sheetView showZeros="0" tabSelected="1" topLeftCell="A7" zoomScale="80" zoomScaleNormal="75" zoomScaleSheetLayoutView="75" workbookViewId="0">
      <selection activeCell="C38" sqref="C38"/>
    </sheetView>
  </sheetViews>
  <sheetFormatPr baseColWidth="10" defaultRowHeight="12.75" x14ac:dyDescent="0.2"/>
  <cols>
    <col min="1" max="1" width="20.7109375" style="170" customWidth="1"/>
    <col min="2" max="2" width="53.7109375" style="170" customWidth="1"/>
    <col min="3" max="6" width="20.7109375" style="170" customWidth="1"/>
    <col min="7" max="10" width="11.42578125" style="170"/>
    <col min="11" max="14" width="20.7109375" style="170" customWidth="1"/>
    <col min="15" max="16384" width="11.42578125" style="170"/>
  </cols>
  <sheetData>
    <row r="1" spans="2:14" ht="15" customHeight="1" x14ac:dyDescent="0.2"/>
    <row r="2" spans="2:14" ht="15" customHeight="1" x14ac:dyDescent="0.2"/>
    <row r="3" spans="2:14" ht="22.5" customHeight="1" thickBot="1" x14ac:dyDescent="0.25">
      <c r="B3" s="503" t="s">
        <v>376</v>
      </c>
      <c r="C3" s="503"/>
      <c r="D3" s="503"/>
      <c r="E3" s="503"/>
      <c r="F3" s="503"/>
    </row>
    <row r="4" spans="2:14" ht="18" customHeight="1" thickTop="1" thickBot="1" x14ac:dyDescent="0.25">
      <c r="B4" s="482" t="s">
        <v>445</v>
      </c>
      <c r="D4" s="172"/>
      <c r="E4" s="172"/>
      <c r="F4" s="174" t="s">
        <v>446</v>
      </c>
    </row>
    <row r="5" spans="2:14" ht="18" customHeight="1" thickTop="1" x14ac:dyDescent="0.2">
      <c r="B5" s="483" t="s">
        <v>475</v>
      </c>
      <c r="C5" s="172"/>
      <c r="D5" s="172"/>
      <c r="E5" s="172"/>
    </row>
    <row r="6" spans="2:14" ht="18" customHeight="1" x14ac:dyDescent="0.2">
      <c r="B6" s="483" t="s">
        <v>476</v>
      </c>
      <c r="C6" s="172"/>
      <c r="D6" s="172"/>
      <c r="E6" s="172"/>
    </row>
    <row r="7" spans="2:14" ht="18" customHeight="1" x14ac:dyDescent="0.2">
      <c r="B7" s="483" t="s">
        <v>477</v>
      </c>
      <c r="C7" s="172"/>
      <c r="D7" s="172"/>
      <c r="E7" s="172"/>
    </row>
    <row r="8" spans="2:14" ht="5.0999999999999996" customHeight="1" thickBot="1" x14ac:dyDescent="0.25">
      <c r="B8" s="172"/>
      <c r="C8" s="172"/>
      <c r="D8" s="172"/>
      <c r="E8" s="172"/>
      <c r="F8" s="171"/>
    </row>
    <row r="9" spans="2:14" ht="15.75" x14ac:dyDescent="0.2">
      <c r="B9" s="212"/>
      <c r="C9" s="91" t="s">
        <v>35</v>
      </c>
      <c r="D9" s="91" t="s">
        <v>4</v>
      </c>
      <c r="E9" s="92" t="s">
        <v>5</v>
      </c>
      <c r="F9" s="93" t="s">
        <v>4</v>
      </c>
      <c r="H9" s="222"/>
      <c r="I9" s="222"/>
      <c r="J9" s="222"/>
      <c r="K9" s="502"/>
      <c r="L9" s="502"/>
      <c r="M9" s="502"/>
      <c r="N9" s="502"/>
    </row>
    <row r="10" spans="2:14" ht="16.5" thickBot="1" x14ac:dyDescent="0.25">
      <c r="B10" s="213"/>
      <c r="C10" s="94">
        <v>2011</v>
      </c>
      <c r="D10" s="94">
        <v>2012</v>
      </c>
      <c r="E10" s="94">
        <v>2012</v>
      </c>
      <c r="F10" s="95">
        <v>2013</v>
      </c>
      <c r="H10" s="223"/>
      <c r="I10" s="502"/>
      <c r="J10" s="502"/>
      <c r="K10" s="223"/>
      <c r="L10" s="223"/>
      <c r="M10" s="223"/>
      <c r="N10" s="223"/>
    </row>
    <row r="11" spans="2:14" ht="14.1" customHeight="1" thickTop="1" x14ac:dyDescent="0.2">
      <c r="B11" s="224"/>
      <c r="C11" s="235"/>
      <c r="D11" s="235"/>
      <c r="E11" s="235"/>
      <c r="F11" s="236"/>
      <c r="H11" s="171"/>
      <c r="I11" s="171"/>
      <c r="J11" s="171"/>
      <c r="K11" s="171"/>
      <c r="L11" s="171"/>
      <c r="M11" s="171"/>
      <c r="N11" s="171"/>
    </row>
    <row r="12" spans="2:14" ht="14.1" customHeight="1" x14ac:dyDescent="0.2">
      <c r="B12" s="194" t="s">
        <v>136</v>
      </c>
      <c r="C12" s="178"/>
      <c r="D12" s="178"/>
      <c r="E12" s="178"/>
      <c r="F12" s="179"/>
      <c r="H12" s="171"/>
      <c r="I12" s="171"/>
      <c r="J12" s="171"/>
      <c r="K12" s="181"/>
      <c r="L12" s="181"/>
      <c r="M12" s="171"/>
      <c r="N12" s="171"/>
    </row>
    <row r="13" spans="2:14" ht="14.1" customHeight="1" x14ac:dyDescent="0.2">
      <c r="B13" s="232" t="s">
        <v>137</v>
      </c>
      <c r="C13" s="178">
        <v>89807542.5</v>
      </c>
      <c r="D13" s="178">
        <v>140328260</v>
      </c>
      <c r="E13" s="178">
        <f>E14+E19</f>
        <v>151431739</v>
      </c>
      <c r="F13" s="179">
        <f>F14+F19</f>
        <v>114436058.84999999</v>
      </c>
      <c r="H13" s="171"/>
      <c r="I13" s="171"/>
      <c r="J13" s="171"/>
      <c r="K13" s="171"/>
      <c r="L13" s="171"/>
      <c r="M13" s="171"/>
      <c r="N13" s="171"/>
    </row>
    <row r="14" spans="2:14" ht="14.1" customHeight="1" x14ac:dyDescent="0.2">
      <c r="B14" s="183" t="s">
        <v>138</v>
      </c>
      <c r="C14" s="178">
        <v>88754455.689999998</v>
      </c>
      <c r="D14" s="178">
        <v>139541662</v>
      </c>
      <c r="E14" s="178">
        <f>SUM(E15:E18)</f>
        <v>150645141</v>
      </c>
      <c r="F14" s="179">
        <f>SUM(F15:F18)</f>
        <v>113909460.84999999</v>
      </c>
      <c r="H14" s="171"/>
      <c r="I14" s="171"/>
      <c r="J14" s="171"/>
      <c r="K14" s="181"/>
      <c r="L14" s="171"/>
      <c r="M14" s="171"/>
      <c r="N14" s="171"/>
    </row>
    <row r="15" spans="2:14" ht="14.1" customHeight="1" x14ac:dyDescent="0.2">
      <c r="B15" s="255" t="s">
        <v>508</v>
      </c>
      <c r="C15" s="178">
        <v>77792790.129999995</v>
      </c>
      <c r="D15" s="178">
        <v>110010649</v>
      </c>
      <c r="E15" s="101">
        <v>127896253</v>
      </c>
      <c r="F15" s="102">
        <v>98160572.849999994</v>
      </c>
      <c r="H15" s="171"/>
      <c r="I15" s="171"/>
      <c r="J15" s="171"/>
      <c r="K15" s="171"/>
      <c r="L15" s="171"/>
      <c r="M15" s="171"/>
      <c r="N15" s="171"/>
    </row>
    <row r="16" spans="2:14" ht="14.1" customHeight="1" x14ac:dyDescent="0.2">
      <c r="B16" s="255" t="s">
        <v>509</v>
      </c>
      <c r="C16" s="178">
        <v>10961665.560000001</v>
      </c>
      <c r="D16" s="178">
        <v>10500000</v>
      </c>
      <c r="E16" s="101">
        <v>10900000</v>
      </c>
      <c r="F16" s="102">
        <v>11500000</v>
      </c>
      <c r="H16" s="171"/>
      <c r="I16" s="171"/>
      <c r="J16" s="171"/>
      <c r="K16" s="171"/>
      <c r="L16" s="171"/>
      <c r="M16" s="171"/>
      <c r="N16" s="171"/>
    </row>
    <row r="17" spans="1:14" ht="14.1" customHeight="1" x14ac:dyDescent="0.2">
      <c r="B17" s="255" t="s">
        <v>510</v>
      </c>
      <c r="C17" s="178"/>
      <c r="D17" s="178">
        <v>9248888</v>
      </c>
      <c r="E17" s="101">
        <f>8548888</f>
        <v>8548888</v>
      </c>
      <c r="F17" s="102">
        <v>4248888</v>
      </c>
      <c r="H17" s="171"/>
      <c r="I17" s="171"/>
      <c r="J17" s="171"/>
      <c r="K17" s="171"/>
      <c r="L17" s="171"/>
      <c r="M17" s="171"/>
      <c r="N17" s="171"/>
    </row>
    <row r="18" spans="1:14" ht="14.1" customHeight="1" x14ac:dyDescent="0.2">
      <c r="B18" s="255" t="s">
        <v>511</v>
      </c>
      <c r="C18" s="178"/>
      <c r="D18" s="178">
        <v>9782125</v>
      </c>
      <c r="E18" s="101">
        <f>16356082.91-13056082.91</f>
        <v>3300000</v>
      </c>
      <c r="F18" s="102"/>
      <c r="H18" s="171"/>
      <c r="I18" s="171"/>
      <c r="J18" s="171"/>
      <c r="K18" s="171"/>
      <c r="L18" s="171"/>
      <c r="M18" s="171"/>
      <c r="N18" s="171"/>
    </row>
    <row r="19" spans="1:14" ht="14.1" customHeight="1" x14ac:dyDescent="0.2">
      <c r="B19" s="188" t="s">
        <v>139</v>
      </c>
      <c r="C19" s="178">
        <v>1053086.81</v>
      </c>
      <c r="D19" s="178">
        <v>786598</v>
      </c>
      <c r="E19" s="178">
        <f>SUM(E20:E23)</f>
        <v>786598</v>
      </c>
      <c r="F19" s="179">
        <f>SUM(F20:F23)</f>
        <v>526598</v>
      </c>
      <c r="H19" s="171"/>
      <c r="I19" s="171"/>
      <c r="J19" s="171"/>
      <c r="K19" s="171"/>
      <c r="L19" s="171"/>
      <c r="M19" s="171"/>
      <c r="N19" s="171"/>
    </row>
    <row r="20" spans="1:14" ht="14.1" customHeight="1" x14ac:dyDescent="0.2">
      <c r="A20" s="182"/>
      <c r="B20" s="255" t="s">
        <v>512</v>
      </c>
      <c r="C20" s="178">
        <v>1053086.81</v>
      </c>
      <c r="D20" s="178">
        <v>260000</v>
      </c>
      <c r="E20" s="101">
        <v>260000</v>
      </c>
      <c r="F20" s="102"/>
      <c r="H20" s="171"/>
      <c r="I20" s="171"/>
      <c r="J20" s="171"/>
      <c r="K20" s="171"/>
      <c r="L20" s="171"/>
      <c r="M20" s="171"/>
      <c r="N20" s="171"/>
    </row>
    <row r="21" spans="1:14" ht="14.1" customHeight="1" x14ac:dyDescent="0.2">
      <c r="A21" s="182"/>
      <c r="B21" s="255" t="s">
        <v>513</v>
      </c>
      <c r="C21" s="178"/>
      <c r="D21" s="178">
        <v>526598</v>
      </c>
      <c r="E21" s="101">
        <v>526598</v>
      </c>
      <c r="F21" s="102">
        <v>526598</v>
      </c>
      <c r="H21" s="171"/>
      <c r="I21" s="171"/>
      <c r="J21" s="171"/>
      <c r="K21" s="171"/>
      <c r="L21" s="171"/>
      <c r="M21" s="171"/>
      <c r="N21" s="171"/>
    </row>
    <row r="22" spans="1:14" ht="14.1" customHeight="1" x14ac:dyDescent="0.2">
      <c r="A22" s="182"/>
      <c r="B22" s="255" t="s">
        <v>140</v>
      </c>
      <c r="C22" s="178"/>
      <c r="D22" s="178"/>
      <c r="E22" s="101"/>
      <c r="F22" s="102"/>
    </row>
    <row r="23" spans="1:14" ht="14.1" customHeight="1" x14ac:dyDescent="0.2">
      <c r="B23" s="255" t="s">
        <v>141</v>
      </c>
      <c r="C23" s="178"/>
      <c r="D23" s="178"/>
      <c r="E23" s="101"/>
      <c r="F23" s="102"/>
    </row>
    <row r="24" spans="1:14" ht="14.1" customHeight="1" x14ac:dyDescent="0.2">
      <c r="B24" s="232" t="s">
        <v>142</v>
      </c>
      <c r="C24" s="178">
        <v>13761992.98</v>
      </c>
      <c r="D24" s="178">
        <v>16889278.640000001</v>
      </c>
      <c r="E24" s="101">
        <v>-33476020.27</v>
      </c>
      <c r="F24" s="102">
        <v>-40891983.280000001</v>
      </c>
    </row>
    <row r="25" spans="1:14" ht="14.1" customHeight="1" x14ac:dyDescent="0.2">
      <c r="B25" s="232" t="s">
        <v>143</v>
      </c>
      <c r="C25" s="178">
        <v>7157768.2599999998</v>
      </c>
      <c r="D25" s="178"/>
      <c r="E25" s="101"/>
      <c r="F25" s="102"/>
    </row>
    <row r="26" spans="1:14" ht="14.1" customHeight="1" x14ac:dyDescent="0.2">
      <c r="B26" s="233" t="s">
        <v>144</v>
      </c>
      <c r="C26" s="178">
        <v>-107870661.72999999</v>
      </c>
      <c r="D26" s="178">
        <v>-135307714.19999999</v>
      </c>
      <c r="E26" s="178">
        <f>SUM(E27:E30)</f>
        <v>-90327787.650000006</v>
      </c>
      <c r="F26" s="179">
        <f>SUM(F27:F30)</f>
        <v>-42974503</v>
      </c>
    </row>
    <row r="27" spans="1:14" ht="14.1" customHeight="1" x14ac:dyDescent="0.2">
      <c r="B27" s="183" t="s">
        <v>145</v>
      </c>
      <c r="C27" s="178">
        <v>-18615007.449999999</v>
      </c>
      <c r="D27" s="178">
        <v>0</v>
      </c>
      <c r="E27" s="101"/>
      <c r="F27" s="102"/>
    </row>
    <row r="28" spans="1:14" ht="14.1" customHeight="1" x14ac:dyDescent="0.2">
      <c r="B28" s="195" t="s">
        <v>146</v>
      </c>
      <c r="C28" s="225">
        <v>-63855309.899999999</v>
      </c>
      <c r="D28" s="225">
        <v>-128807714.2</v>
      </c>
      <c r="E28" s="226">
        <v>-88431173.810000002</v>
      </c>
      <c r="F28" s="102">
        <v>-36774503</v>
      </c>
    </row>
    <row r="29" spans="1:14" ht="14.1" customHeight="1" x14ac:dyDescent="0.2">
      <c r="B29" s="195" t="s">
        <v>147</v>
      </c>
      <c r="C29" s="225"/>
      <c r="D29" s="225">
        <v>0</v>
      </c>
      <c r="E29" s="226"/>
      <c r="F29" s="102"/>
    </row>
    <row r="30" spans="1:14" ht="14.1" customHeight="1" x14ac:dyDescent="0.2">
      <c r="B30" s="195" t="s">
        <v>185</v>
      </c>
      <c r="C30" s="225">
        <v>-25400344.379999999</v>
      </c>
      <c r="D30" s="225">
        <v>-6500000</v>
      </c>
      <c r="E30" s="226">
        <v>-1896613.84</v>
      </c>
      <c r="F30" s="102">
        <v>-6200000</v>
      </c>
    </row>
    <row r="31" spans="1:14" ht="14.1" customHeight="1" x14ac:dyDescent="0.2">
      <c r="B31" s="234" t="s">
        <v>154</v>
      </c>
      <c r="C31" s="225">
        <v>37902604.82</v>
      </c>
      <c r="D31" s="225">
        <v>45540207.800000004</v>
      </c>
      <c r="E31" s="225">
        <f>SUM(E32:E34)</f>
        <v>41268880.270000003</v>
      </c>
      <c r="F31" s="179">
        <f>SUM(F32:F34)</f>
        <v>34880166</v>
      </c>
    </row>
    <row r="32" spans="1:14" ht="14.1" customHeight="1" x14ac:dyDescent="0.2">
      <c r="B32" s="195" t="s">
        <v>153</v>
      </c>
      <c r="C32" s="178">
        <v>177722.07</v>
      </c>
      <c r="D32" s="178">
        <v>2500000</v>
      </c>
      <c r="E32" s="101"/>
      <c r="F32" s="102">
        <v>1973402</v>
      </c>
    </row>
    <row r="33" spans="2:6" ht="14.1" customHeight="1" x14ac:dyDescent="0.2">
      <c r="B33" s="195" t="s">
        <v>155</v>
      </c>
      <c r="C33" s="178">
        <v>34022444.310000002</v>
      </c>
      <c r="D33" s="178">
        <v>38742035.090000004</v>
      </c>
      <c r="E33" s="101">
        <v>38470707.560000002</v>
      </c>
      <c r="F33" s="102">
        <v>28406764</v>
      </c>
    </row>
    <row r="34" spans="2:6" ht="14.1" customHeight="1" x14ac:dyDescent="0.2">
      <c r="B34" s="195" t="s">
        <v>156</v>
      </c>
      <c r="C34" s="178">
        <v>3702438.44</v>
      </c>
      <c r="D34" s="178">
        <v>4298172.71</v>
      </c>
      <c r="E34" s="101">
        <v>2798172.71</v>
      </c>
      <c r="F34" s="102">
        <v>4500000</v>
      </c>
    </row>
    <row r="35" spans="2:6" ht="14.1" customHeight="1" x14ac:dyDescent="0.2">
      <c r="B35" s="234" t="s">
        <v>157</v>
      </c>
      <c r="C35" s="225">
        <v>-17853243.350000001</v>
      </c>
      <c r="D35" s="225">
        <v>-16761374.9</v>
      </c>
      <c r="E35" s="225">
        <f>SUM(E36:E38)</f>
        <v>-15192642</v>
      </c>
      <c r="F35" s="179">
        <f>SUM(F36:F38)</f>
        <v>-15618408.539999999</v>
      </c>
    </row>
    <row r="36" spans="2:6" ht="14.1" customHeight="1" x14ac:dyDescent="0.2">
      <c r="B36" s="195" t="s">
        <v>254</v>
      </c>
      <c r="C36" s="225">
        <v>-13561736.6</v>
      </c>
      <c r="D36" s="225">
        <v>-12825514.9</v>
      </c>
      <c r="E36" s="226">
        <v>-11646629</v>
      </c>
      <c r="F36" s="102">
        <v>-12382943</v>
      </c>
    </row>
    <row r="37" spans="2:6" ht="14.1" customHeight="1" x14ac:dyDescent="0.2">
      <c r="B37" s="195" t="s">
        <v>158</v>
      </c>
      <c r="C37" s="225">
        <v>-4291506.75</v>
      </c>
      <c r="D37" s="225">
        <v>-3915860</v>
      </c>
      <c r="E37" s="226">
        <v>-3526013</v>
      </c>
      <c r="F37" s="102">
        <v>-3215465.54</v>
      </c>
    </row>
    <row r="38" spans="2:6" ht="14.1" customHeight="1" x14ac:dyDescent="0.2">
      <c r="B38" s="195" t="s">
        <v>159</v>
      </c>
      <c r="C38" s="225"/>
      <c r="D38" s="225">
        <v>-20000</v>
      </c>
      <c r="E38" s="226">
        <v>-20000</v>
      </c>
      <c r="F38" s="102">
        <v>-20000</v>
      </c>
    </row>
    <row r="39" spans="2:6" ht="14.1" customHeight="1" x14ac:dyDescent="0.2">
      <c r="B39" s="234" t="s">
        <v>160</v>
      </c>
      <c r="C39" s="225">
        <v>-39386676.609999999</v>
      </c>
      <c r="D39" s="225">
        <v>-50834047.600000001</v>
      </c>
      <c r="E39" s="225">
        <f>SUM(E40:E43)</f>
        <v>-44167940.030000001</v>
      </c>
      <c r="F39" s="179">
        <f>SUM(F40:F43)</f>
        <v>-30392011.43</v>
      </c>
    </row>
    <row r="40" spans="2:6" ht="14.1" customHeight="1" x14ac:dyDescent="0.2">
      <c r="B40" s="195" t="s">
        <v>161</v>
      </c>
      <c r="C40" s="225">
        <v>-30078125.719999999</v>
      </c>
      <c r="D40" s="225">
        <v>-33834047.600000001</v>
      </c>
      <c r="E40" s="226">
        <v>-30444047.600000001</v>
      </c>
      <c r="F40" s="102">
        <v>-19144119</v>
      </c>
    </row>
    <row r="41" spans="2:6" ht="14.1" customHeight="1" x14ac:dyDescent="0.2">
      <c r="B41" s="195" t="s">
        <v>162</v>
      </c>
      <c r="C41" s="225">
        <v>-8734267.5999999996</v>
      </c>
      <c r="D41" s="225">
        <v>-12000000</v>
      </c>
      <c r="E41" s="226">
        <v>-10000000</v>
      </c>
      <c r="F41" s="102">
        <v>-10000000</v>
      </c>
    </row>
    <row r="42" spans="2:6" ht="14.1" customHeight="1" x14ac:dyDescent="0.2">
      <c r="B42" s="195" t="s">
        <v>163</v>
      </c>
      <c r="C42" s="225">
        <v>-574283.29</v>
      </c>
      <c r="D42" s="225">
        <v>-5000000</v>
      </c>
      <c r="E42" s="226">
        <v>-3723892.43</v>
      </c>
      <c r="F42" s="102">
        <v>-1247892.43</v>
      </c>
    </row>
    <row r="43" spans="2:6" ht="14.1" customHeight="1" x14ac:dyDescent="0.2">
      <c r="B43" s="195" t="s">
        <v>164</v>
      </c>
      <c r="C43" s="225"/>
      <c r="D43" s="225"/>
      <c r="E43" s="226"/>
      <c r="F43" s="102"/>
    </row>
    <row r="44" spans="2:6" ht="13.5" customHeight="1" x14ac:dyDescent="0.2">
      <c r="B44" s="234" t="s">
        <v>165</v>
      </c>
      <c r="C44" s="178">
        <v>-8226223.6399999997</v>
      </c>
      <c r="D44" s="178">
        <v>-7900000</v>
      </c>
      <c r="E44" s="178">
        <f>SUM(E45:E47)</f>
        <v>-8921329.1099999994</v>
      </c>
      <c r="F44" s="179">
        <f>SUM(F45:F47)</f>
        <v>-8799816.1300000008</v>
      </c>
    </row>
    <row r="45" spans="2:6" ht="13.5" customHeight="1" x14ac:dyDescent="0.2">
      <c r="B45" s="195" t="s">
        <v>166</v>
      </c>
      <c r="C45" s="225">
        <v>-573751.34</v>
      </c>
      <c r="D45" s="225">
        <v>-450000</v>
      </c>
      <c r="E45" s="226">
        <v>-329040.78000000003</v>
      </c>
      <c r="F45" s="102">
        <v>-315075.01</v>
      </c>
    </row>
    <row r="46" spans="2:6" ht="13.5" customHeight="1" x14ac:dyDescent="0.2">
      <c r="B46" s="195" t="s">
        <v>167</v>
      </c>
      <c r="C46" s="225">
        <v>-519140.25</v>
      </c>
      <c r="D46" s="225">
        <v>-450000</v>
      </c>
      <c r="E46" s="226">
        <v>-392902.67</v>
      </c>
      <c r="F46" s="102">
        <v>-308325.89</v>
      </c>
    </row>
    <row r="47" spans="2:6" ht="13.5" customHeight="1" x14ac:dyDescent="0.2">
      <c r="B47" s="195" t="s">
        <v>168</v>
      </c>
      <c r="C47" s="225">
        <v>-7133332.0499999998</v>
      </c>
      <c r="D47" s="225">
        <v>-7000000</v>
      </c>
      <c r="E47" s="226">
        <v>-8199385.6600000001</v>
      </c>
      <c r="F47" s="102">
        <v>-8176415.2300000004</v>
      </c>
    </row>
    <row r="48" spans="2:6" ht="13.5" customHeight="1" x14ac:dyDescent="0.2">
      <c r="B48" s="234" t="s">
        <v>169</v>
      </c>
      <c r="C48" s="178">
        <v>6164914.9500000002</v>
      </c>
      <c r="D48" s="178">
        <v>16344846.68</v>
      </c>
      <c r="E48" s="101">
        <f>9123990</f>
        <v>9123990</v>
      </c>
      <c r="F48" s="102">
        <v>5996421.0700000003</v>
      </c>
    </row>
    <row r="49" spans="2:6" ht="13.5" customHeight="1" x14ac:dyDescent="0.2">
      <c r="B49" s="234" t="s">
        <v>255</v>
      </c>
      <c r="C49" s="178">
        <v>511222.16</v>
      </c>
      <c r="D49" s="178"/>
      <c r="E49" s="101"/>
      <c r="F49" s="102"/>
    </row>
    <row r="50" spans="2:6" ht="13.5" customHeight="1" x14ac:dyDescent="0.2">
      <c r="B50" s="234" t="s">
        <v>170</v>
      </c>
      <c r="C50" s="178">
        <v>12608502.57</v>
      </c>
      <c r="D50" s="178">
        <v>24800543.600000001</v>
      </c>
      <c r="E50" s="178">
        <f>SUM(E51:E52)</f>
        <v>6753537.4900000002</v>
      </c>
      <c r="F50" s="179">
        <f>SUM(F51:F52)</f>
        <v>10464076.02</v>
      </c>
    </row>
    <row r="51" spans="2:6" ht="13.5" customHeight="1" x14ac:dyDescent="0.2">
      <c r="B51" s="195" t="s">
        <v>171</v>
      </c>
      <c r="C51" s="178">
        <v>-462335.85</v>
      </c>
      <c r="D51" s="178"/>
      <c r="E51" s="101"/>
      <c r="F51" s="102"/>
    </row>
    <row r="52" spans="2:6" ht="14.1" customHeight="1" x14ac:dyDescent="0.2">
      <c r="B52" s="195" t="s">
        <v>172</v>
      </c>
      <c r="C52" s="178">
        <v>13070838.42</v>
      </c>
      <c r="D52" s="178">
        <v>24800543.600000001</v>
      </c>
      <c r="E52" s="101">
        <v>6753537.4900000002</v>
      </c>
      <c r="F52" s="102">
        <v>10464076.02</v>
      </c>
    </row>
    <row r="53" spans="2:6" ht="14.1" customHeight="1" x14ac:dyDescent="0.2">
      <c r="B53" s="234" t="s">
        <v>173</v>
      </c>
      <c r="C53" s="266">
        <v>0</v>
      </c>
      <c r="D53" s="266">
        <v>0</v>
      </c>
      <c r="E53" s="266">
        <f>SUM(E54:E55)</f>
        <v>0</v>
      </c>
      <c r="F53" s="267">
        <f>SUM(F54:F55)</f>
        <v>0</v>
      </c>
    </row>
    <row r="54" spans="2:6" ht="14.1" customHeight="1" x14ac:dyDescent="0.2">
      <c r="B54" s="195" t="s">
        <v>269</v>
      </c>
      <c r="C54" s="178"/>
      <c r="D54" s="178"/>
      <c r="E54" s="101"/>
      <c r="F54" s="102"/>
    </row>
    <row r="55" spans="2:6" ht="14.1" customHeight="1" x14ac:dyDescent="0.2">
      <c r="B55" s="195" t="s">
        <v>270</v>
      </c>
      <c r="C55" s="225"/>
      <c r="D55" s="225"/>
      <c r="E55" s="226"/>
      <c r="F55" s="102"/>
    </row>
    <row r="56" spans="2:6" ht="18" customHeight="1" x14ac:dyDescent="0.2">
      <c r="B56" s="245" t="s">
        <v>205</v>
      </c>
      <c r="C56" s="243">
        <v>-5422257.0899999812</v>
      </c>
      <c r="D56" s="243">
        <v>33100000.020000011</v>
      </c>
      <c r="E56" s="243">
        <f>E13+E24+E25+E26+E31+E35+E39+E44+E48+E49+E50+E53</f>
        <v>16492427.699999994</v>
      </c>
      <c r="F56" s="244">
        <f>F13+F24+F25+F26+F31+F35+F39+F44+F48+F49+F50+F53</f>
        <v>27099999.559999995</v>
      </c>
    </row>
    <row r="57" spans="2:6" ht="14.1" customHeight="1" x14ac:dyDescent="0.2">
      <c r="B57" s="250" t="s">
        <v>174</v>
      </c>
      <c r="C57" s="237">
        <v>822338.8</v>
      </c>
      <c r="D57" s="237">
        <v>900000</v>
      </c>
      <c r="E57" s="237">
        <f>E58+E61+E64</f>
        <v>900000</v>
      </c>
      <c r="F57" s="248">
        <f>F58+F61+F64</f>
        <v>900000</v>
      </c>
    </row>
    <row r="58" spans="2:6" ht="14.1" customHeight="1" x14ac:dyDescent="0.2">
      <c r="B58" s="196" t="s">
        <v>175</v>
      </c>
      <c r="C58" s="178">
        <v>822338.8</v>
      </c>
      <c r="D58" s="178">
        <v>0</v>
      </c>
      <c r="E58" s="178">
        <f>SUM(E59:E60)</f>
        <v>0</v>
      </c>
      <c r="F58" s="179">
        <f>SUM(F59:F60)</f>
        <v>0</v>
      </c>
    </row>
    <row r="59" spans="2:6" ht="14.1" customHeight="1" x14ac:dyDescent="0.2">
      <c r="B59" s="196" t="s">
        <v>287</v>
      </c>
      <c r="C59" s="178"/>
      <c r="D59" s="178"/>
      <c r="E59" s="101"/>
      <c r="F59" s="102"/>
    </row>
    <row r="60" spans="2:6" ht="14.1" customHeight="1" x14ac:dyDescent="0.2">
      <c r="B60" s="196" t="s">
        <v>288</v>
      </c>
      <c r="C60" s="178">
        <v>822338.8</v>
      </c>
      <c r="D60" s="178"/>
      <c r="E60" s="101"/>
      <c r="F60" s="102"/>
    </row>
    <row r="61" spans="2:6" ht="14.1" customHeight="1" x14ac:dyDescent="0.2">
      <c r="B61" s="196" t="s">
        <v>256</v>
      </c>
      <c r="C61" s="178">
        <v>0</v>
      </c>
      <c r="D61" s="178">
        <v>900000</v>
      </c>
      <c r="E61" s="178">
        <f>SUM(E62:E63)</f>
        <v>900000</v>
      </c>
      <c r="F61" s="179">
        <f>SUM(F62:F63)</f>
        <v>900000</v>
      </c>
    </row>
    <row r="62" spans="2:6" ht="14.1" customHeight="1" x14ac:dyDescent="0.2">
      <c r="B62" s="196" t="s">
        <v>289</v>
      </c>
      <c r="C62" s="178"/>
      <c r="D62" s="178"/>
      <c r="E62" s="101"/>
      <c r="F62" s="102"/>
    </row>
    <row r="63" spans="2:6" ht="14.1" customHeight="1" x14ac:dyDescent="0.2">
      <c r="B63" s="196" t="s">
        <v>290</v>
      </c>
      <c r="C63" s="178"/>
      <c r="D63" s="178">
        <v>900000</v>
      </c>
      <c r="E63" s="101">
        <v>900000</v>
      </c>
      <c r="F63" s="102">
        <v>900000</v>
      </c>
    </row>
    <row r="64" spans="2:6" ht="14.1" customHeight="1" x14ac:dyDescent="0.2">
      <c r="B64" s="196" t="s">
        <v>404</v>
      </c>
      <c r="C64" s="225"/>
      <c r="D64" s="178"/>
      <c r="E64" s="101"/>
      <c r="F64" s="400"/>
    </row>
    <row r="65" spans="2:6" ht="14.1" customHeight="1" x14ac:dyDescent="0.2">
      <c r="B65" s="247" t="s">
        <v>179</v>
      </c>
      <c r="C65" s="237">
        <v>-21668341.629999999</v>
      </c>
      <c r="D65" s="237">
        <v>-34000000</v>
      </c>
      <c r="E65" s="237">
        <f>SUM(E66:E68)</f>
        <v>-28984558</v>
      </c>
      <c r="F65" s="248">
        <f>SUM(F66:F68)</f>
        <v>-28000000</v>
      </c>
    </row>
    <row r="66" spans="2:6" ht="14.1" customHeight="1" x14ac:dyDescent="0.2">
      <c r="B66" s="196" t="s">
        <v>284</v>
      </c>
      <c r="C66" s="225"/>
      <c r="D66" s="225"/>
      <c r="E66" s="226"/>
      <c r="F66" s="102"/>
    </row>
    <row r="67" spans="2:6" ht="14.1" customHeight="1" x14ac:dyDescent="0.2">
      <c r="B67" s="196" t="s">
        <v>176</v>
      </c>
      <c r="C67" s="225">
        <v>-21668341.629999999</v>
      </c>
      <c r="D67" s="225">
        <v>-34000000</v>
      </c>
      <c r="E67" s="226">
        <v>-28984558</v>
      </c>
      <c r="F67" s="102">
        <v>-28000000</v>
      </c>
    </row>
    <row r="68" spans="2:6" ht="14.1" customHeight="1" x14ac:dyDescent="0.2">
      <c r="B68" s="196" t="s">
        <v>257</v>
      </c>
      <c r="C68" s="225"/>
      <c r="D68" s="225"/>
      <c r="E68" s="226"/>
      <c r="F68" s="102"/>
    </row>
    <row r="69" spans="2:6" ht="14.1" customHeight="1" x14ac:dyDescent="0.2">
      <c r="B69" s="247" t="s">
        <v>180</v>
      </c>
      <c r="C69" s="237">
        <v>0</v>
      </c>
      <c r="D69" s="237">
        <v>0</v>
      </c>
      <c r="E69" s="237">
        <f>SUM(E70:E71)</f>
        <v>0</v>
      </c>
      <c r="F69" s="248">
        <f>SUM(F70:F71)</f>
        <v>0</v>
      </c>
    </row>
    <row r="70" spans="2:6" ht="14.1" customHeight="1" x14ac:dyDescent="0.2">
      <c r="B70" s="196" t="s">
        <v>177</v>
      </c>
      <c r="C70" s="178"/>
      <c r="D70" s="178"/>
      <c r="E70" s="101"/>
      <c r="F70" s="102"/>
    </row>
    <row r="71" spans="2:6" ht="14.1" customHeight="1" x14ac:dyDescent="0.2">
      <c r="B71" s="196" t="s">
        <v>178</v>
      </c>
      <c r="C71" s="178"/>
      <c r="D71" s="178"/>
      <c r="E71" s="101"/>
      <c r="F71" s="102"/>
    </row>
    <row r="72" spans="2:6" ht="14.1" customHeight="1" x14ac:dyDescent="0.2">
      <c r="B72" s="247" t="s">
        <v>181</v>
      </c>
      <c r="C72" s="178"/>
      <c r="D72" s="178"/>
      <c r="E72" s="101"/>
      <c r="F72" s="102"/>
    </row>
    <row r="73" spans="2:6" ht="14.1" customHeight="1" x14ac:dyDescent="0.2">
      <c r="B73" s="234" t="s">
        <v>186</v>
      </c>
      <c r="C73" s="178">
        <v>0</v>
      </c>
      <c r="D73" s="178">
        <v>0</v>
      </c>
      <c r="E73" s="178">
        <f>SUM(E74:E75)</f>
        <v>0</v>
      </c>
      <c r="F73" s="179">
        <f>SUM(F74:F75)</f>
        <v>0</v>
      </c>
    </row>
    <row r="74" spans="2:6" ht="14.1" customHeight="1" x14ac:dyDescent="0.2">
      <c r="B74" s="195" t="s">
        <v>171</v>
      </c>
      <c r="C74" s="178"/>
      <c r="D74" s="178"/>
      <c r="E74" s="101"/>
      <c r="F74" s="102"/>
    </row>
    <row r="75" spans="2:6" ht="14.1" customHeight="1" x14ac:dyDescent="0.2">
      <c r="B75" s="195" t="s">
        <v>258</v>
      </c>
      <c r="C75" s="237"/>
      <c r="D75" s="237"/>
      <c r="E75" s="238"/>
      <c r="F75" s="249"/>
    </row>
    <row r="76" spans="2:6" ht="18" customHeight="1" x14ac:dyDescent="0.2">
      <c r="B76" s="242" t="s">
        <v>206</v>
      </c>
      <c r="C76" s="243">
        <v>-20846002.829999998</v>
      </c>
      <c r="D76" s="243">
        <v>-33100000</v>
      </c>
      <c r="E76" s="243">
        <f>E57+E65+E69+E72+E73</f>
        <v>-28084558</v>
      </c>
      <c r="F76" s="244">
        <f>F57+F65+F69+F72+F73</f>
        <v>-27100000</v>
      </c>
    </row>
    <row r="77" spans="2:6" ht="18" customHeight="1" x14ac:dyDescent="0.2">
      <c r="B77" s="242" t="s">
        <v>207</v>
      </c>
      <c r="C77" s="243">
        <v>-26268259.919999979</v>
      </c>
      <c r="D77" s="243">
        <v>2.000001072883606E-2</v>
      </c>
      <c r="E77" s="243">
        <f>E56+E76</f>
        <v>-11592130.300000006</v>
      </c>
      <c r="F77" s="244">
        <f>F56+F76</f>
        <v>-0.44000000506639481</v>
      </c>
    </row>
    <row r="78" spans="2:6" ht="14.1" customHeight="1" x14ac:dyDescent="0.2">
      <c r="B78" s="247" t="s">
        <v>182</v>
      </c>
      <c r="C78" s="237"/>
      <c r="D78" s="237"/>
      <c r="E78" s="238"/>
      <c r="F78" s="249"/>
    </row>
    <row r="79" spans="2:6" ht="18" customHeight="1" x14ac:dyDescent="0.2">
      <c r="B79" s="242" t="s">
        <v>208</v>
      </c>
      <c r="C79" s="243">
        <v>-26268259.919999979</v>
      </c>
      <c r="D79" s="243">
        <v>2.000001072883606E-2</v>
      </c>
      <c r="E79" s="243">
        <f>E77+E78</f>
        <v>-11592130.300000006</v>
      </c>
      <c r="F79" s="244">
        <f>F77+F78</f>
        <v>-0.44000000506639481</v>
      </c>
    </row>
    <row r="80" spans="2:6" ht="14.1" customHeight="1" x14ac:dyDescent="0.2">
      <c r="B80" s="202"/>
      <c r="C80" s="237"/>
      <c r="D80" s="237"/>
      <c r="E80" s="237"/>
      <c r="F80" s="248"/>
    </row>
    <row r="81" spans="1:6" ht="14.1" customHeight="1" x14ac:dyDescent="0.2">
      <c r="B81" s="251" t="s">
        <v>183</v>
      </c>
      <c r="C81" s="178"/>
      <c r="D81" s="178"/>
      <c r="E81" s="178"/>
      <c r="F81" s="179"/>
    </row>
    <row r="82" spans="1:6" ht="14.1" customHeight="1" x14ac:dyDescent="0.2">
      <c r="B82" s="247" t="s">
        <v>187</v>
      </c>
      <c r="C82" s="178"/>
      <c r="D82" s="451"/>
      <c r="E82" s="101"/>
      <c r="F82" s="102"/>
    </row>
    <row r="83" spans="1:6" ht="14.1" customHeight="1" thickBot="1" x14ac:dyDescent="0.25">
      <c r="B83" s="247"/>
      <c r="C83" s="237"/>
      <c r="D83" s="239"/>
      <c r="E83" s="394"/>
      <c r="F83" s="395"/>
    </row>
    <row r="84" spans="1:6" ht="18" customHeight="1" thickTop="1" thickBot="1" x14ac:dyDescent="0.25">
      <c r="B84" s="246" t="s">
        <v>184</v>
      </c>
      <c r="C84" s="252">
        <v>-26268259.919999979</v>
      </c>
      <c r="D84" s="252">
        <v>2.000001072883606E-2</v>
      </c>
      <c r="E84" s="252">
        <f>E79+E82</f>
        <v>-11592130.300000006</v>
      </c>
      <c r="F84" s="253">
        <f>F79+F82</f>
        <v>-0.44000000506639481</v>
      </c>
    </row>
    <row r="85" spans="1:6" ht="14.1" customHeight="1" x14ac:dyDescent="0.2">
      <c r="B85" s="227"/>
      <c r="C85" s="228"/>
      <c r="D85" s="228"/>
      <c r="E85" s="228"/>
    </row>
    <row r="86" spans="1:6" ht="14.1" customHeight="1" x14ac:dyDescent="0.2">
      <c r="B86" s="229" t="s">
        <v>188</v>
      </c>
      <c r="C86" s="448"/>
      <c r="D86" s="448"/>
      <c r="E86" s="229"/>
      <c r="F86" s="229"/>
    </row>
    <row r="87" spans="1:6" ht="14.1" customHeight="1" x14ac:dyDescent="0.2">
      <c r="B87" s="230"/>
      <c r="C87" s="449"/>
      <c r="D87" s="449"/>
      <c r="E87" s="231"/>
    </row>
    <row r="88" spans="1:6" ht="14.1" customHeight="1" x14ac:dyDescent="0.2">
      <c r="C88" s="254"/>
      <c r="D88" s="254"/>
    </row>
    <row r="89" spans="1:6" ht="31.5" customHeight="1" x14ac:dyDescent="0.2">
      <c r="A89" s="504" t="s">
        <v>394</v>
      </c>
      <c r="B89" s="505"/>
      <c r="C89" s="450">
        <v>33359.89</v>
      </c>
      <c r="D89" s="450">
        <v>0</v>
      </c>
      <c r="E89" s="399">
        <f>SUM(E90:E92)</f>
        <v>36671</v>
      </c>
      <c r="F89" s="399">
        <f>SUM(F90:F92)</f>
        <v>20000</v>
      </c>
    </row>
    <row r="90" spans="1:6" ht="14.1" customHeight="1" x14ac:dyDescent="0.2">
      <c r="A90" s="506" t="s">
        <v>428</v>
      </c>
      <c r="B90" s="507"/>
      <c r="C90" s="178">
        <v>24671.200000000001</v>
      </c>
      <c r="D90" s="178"/>
      <c r="E90" s="101">
        <v>12000</v>
      </c>
      <c r="F90" s="101">
        <v>8000</v>
      </c>
    </row>
    <row r="91" spans="1:6" ht="14.1" customHeight="1" x14ac:dyDescent="0.2">
      <c r="A91" s="405" t="s">
        <v>413</v>
      </c>
      <c r="B91" s="406"/>
      <c r="C91" s="266">
        <v>0</v>
      </c>
      <c r="D91" s="266"/>
      <c r="E91" s="240"/>
      <c r="F91" s="240"/>
    </row>
    <row r="92" spans="1:6" ht="14.1" customHeight="1" x14ac:dyDescent="0.2">
      <c r="A92" s="506" t="s">
        <v>395</v>
      </c>
      <c r="B92" s="507"/>
      <c r="C92" s="452">
        <v>8688.69</v>
      </c>
      <c r="D92" s="452"/>
      <c r="E92" s="103">
        <v>24671</v>
      </c>
      <c r="F92" s="103">
        <v>12000</v>
      </c>
    </row>
    <row r="93" spans="1:6" ht="14.1" customHeight="1" x14ac:dyDescent="0.2">
      <c r="C93" s="393"/>
      <c r="D93" s="393"/>
    </row>
    <row r="94" spans="1:6" ht="25.5" customHeight="1" x14ac:dyDescent="0.2">
      <c r="B94" s="508" t="s">
        <v>414</v>
      </c>
      <c r="C94" s="508"/>
      <c r="D94" s="508"/>
      <c r="E94" s="508"/>
      <c r="F94" s="508"/>
    </row>
    <row r="95" spans="1:6" ht="18.75" customHeight="1" x14ac:dyDescent="0.2">
      <c r="B95" s="419"/>
      <c r="C95" s="419"/>
      <c r="D95" s="419"/>
      <c r="E95" s="419"/>
      <c r="F95" s="419"/>
    </row>
    <row r="96" spans="1:6" ht="14.1" hidden="1" customHeight="1" x14ac:dyDescent="0.2">
      <c r="C96" s="439" t="str">
        <f t="shared" ref="C96:F97" si="0">C9</f>
        <v>REAL</v>
      </c>
      <c r="D96" s="439" t="str">
        <f t="shared" si="0"/>
        <v>PRESUPUESTO</v>
      </c>
      <c r="E96" s="439" t="str">
        <f t="shared" si="0"/>
        <v>ESTIMADO</v>
      </c>
      <c r="F96" s="439" t="str">
        <f t="shared" si="0"/>
        <v>PRESUPUESTO</v>
      </c>
    </row>
    <row r="97" spans="2:6" ht="14.1" hidden="1" customHeight="1" x14ac:dyDescent="0.2">
      <c r="C97" s="440">
        <f t="shared" si="0"/>
        <v>2011</v>
      </c>
      <c r="D97" s="440">
        <f t="shared" si="0"/>
        <v>2012</v>
      </c>
      <c r="E97" s="440">
        <f t="shared" si="0"/>
        <v>2012</v>
      </c>
      <c r="F97" s="440">
        <f t="shared" si="0"/>
        <v>2013</v>
      </c>
    </row>
    <row r="98" spans="2:6" ht="14.1" hidden="1" customHeight="1" x14ac:dyDescent="0.2">
      <c r="B98" s="441" t="s">
        <v>427</v>
      </c>
      <c r="C98" s="420">
        <f>C99+C100</f>
        <v>-26268259.919999957</v>
      </c>
      <c r="D98" s="420">
        <f>D99+D100</f>
        <v>2.0000040531158447E-2</v>
      </c>
      <c r="E98" s="420">
        <f>E99+E100</f>
        <v>-11592130.300000012</v>
      </c>
      <c r="F98" s="420">
        <f>F99+F100</f>
        <v>-0.43999999761581421</v>
      </c>
    </row>
    <row r="99" spans="2:6" ht="14.1" hidden="1" customHeight="1" x14ac:dyDescent="0.2">
      <c r="B99" s="441" t="s">
        <v>417</v>
      </c>
      <c r="C99" s="438">
        <f>C13+C25+C31+C48+C49+C54+C57+C111</f>
        <v>169199222.89000002</v>
      </c>
      <c r="D99" s="438">
        <f>D13+D25+D31+D48+D49+D54+D57+D111</f>
        <v>244803136.72000003</v>
      </c>
      <c r="E99" s="438">
        <f>E13+E25+E31+E48+E49+E54+E57+E111</f>
        <v>209478146.76000002</v>
      </c>
      <c r="F99" s="438">
        <f>F13+F25+F31+F48+F49+F54+F57+F111</f>
        <v>166676721.94</v>
      </c>
    </row>
    <row r="100" spans="2:6" ht="14.1" hidden="1" customHeight="1" x14ac:dyDescent="0.2">
      <c r="B100" s="441" t="s">
        <v>418</v>
      </c>
      <c r="C100" s="438">
        <f>C26+C35+C39+C44+C55+C65+C78+C122</f>
        <v>-195467482.80999997</v>
      </c>
      <c r="D100" s="438">
        <f>D26+D35+D39+D44+D55+D65+D78+D122</f>
        <v>-244803136.69999999</v>
      </c>
      <c r="E100" s="438">
        <f>E26+E35+E39+E44+E55+E65+E78+E122</f>
        <v>-221070277.06000003</v>
      </c>
      <c r="F100" s="438">
        <f>F26+F35+F39+F44+F55+F65+F78+F122</f>
        <v>-166676722.38</v>
      </c>
    </row>
    <row r="101" spans="2:6" ht="14.1" hidden="1" customHeight="1" x14ac:dyDescent="0.2"/>
    <row r="102" spans="2:6" ht="14.1" hidden="1" customHeight="1" x14ac:dyDescent="0.2">
      <c r="B102" s="433" t="s">
        <v>0</v>
      </c>
      <c r="C102" s="426"/>
      <c r="D102" s="426"/>
      <c r="E102" s="426"/>
      <c r="F102" s="425"/>
    </row>
    <row r="103" spans="2:6" ht="14.1" hidden="1" customHeight="1" x14ac:dyDescent="0.2">
      <c r="B103" s="434" t="s">
        <v>419</v>
      </c>
      <c r="C103" s="371">
        <f>IF(C24&gt;0,C24,0)</f>
        <v>13761992.98</v>
      </c>
      <c r="D103" s="371">
        <f>IF(D24&gt;0,D24,0)</f>
        <v>16889278.640000001</v>
      </c>
      <c r="E103" s="371">
        <f>IF(E24&gt;0,E24,0)</f>
        <v>0</v>
      </c>
      <c r="F103" s="380">
        <f>IF(F24&gt;0,F24,0)</f>
        <v>0</v>
      </c>
    </row>
    <row r="104" spans="2:6" ht="14.1" hidden="1" customHeight="1" x14ac:dyDescent="0.2">
      <c r="B104" s="435" t="s">
        <v>423</v>
      </c>
      <c r="C104" s="371">
        <f t="shared" ref="C104:F105" si="1">IF(C51&gt;0,C51,0)</f>
        <v>0</v>
      </c>
      <c r="D104" s="371">
        <f t="shared" si="1"/>
        <v>0</v>
      </c>
      <c r="E104" s="371">
        <f t="shared" si="1"/>
        <v>0</v>
      </c>
      <c r="F104" s="380">
        <f t="shared" si="1"/>
        <v>0</v>
      </c>
    </row>
    <row r="105" spans="2:6" ht="14.1" hidden="1" customHeight="1" x14ac:dyDescent="0.2">
      <c r="B105" s="435" t="s">
        <v>424</v>
      </c>
      <c r="C105" s="371">
        <f t="shared" si="1"/>
        <v>13070838.42</v>
      </c>
      <c r="D105" s="371">
        <f t="shared" si="1"/>
        <v>24800543.600000001</v>
      </c>
      <c r="E105" s="371">
        <f t="shared" si="1"/>
        <v>6753537.4900000002</v>
      </c>
      <c r="F105" s="380">
        <f t="shared" si="1"/>
        <v>10464076.02</v>
      </c>
    </row>
    <row r="106" spans="2:6" ht="14.1" hidden="1" customHeight="1" x14ac:dyDescent="0.2">
      <c r="B106" s="436" t="s">
        <v>420</v>
      </c>
      <c r="C106" s="371">
        <f>IF(C69&gt;0,C69,0)</f>
        <v>0</v>
      </c>
      <c r="D106" s="371">
        <f>IF(D69&gt;0,D69,0)</f>
        <v>0</v>
      </c>
      <c r="E106" s="371">
        <f>IF(E69&gt;0,E69,0)</f>
        <v>0</v>
      </c>
      <c r="F106" s="380">
        <f>IF(F69&gt;0,F69,0)</f>
        <v>0</v>
      </c>
    </row>
    <row r="107" spans="2:6" ht="14.1" hidden="1" customHeight="1" x14ac:dyDescent="0.2">
      <c r="B107" s="436" t="s">
        <v>421</v>
      </c>
      <c r="C107" s="371">
        <f>IF(C72&gt;0,C72,0)</f>
        <v>0</v>
      </c>
      <c r="D107" s="371">
        <f>IF(D72&gt;0,D72,0)</f>
        <v>0</v>
      </c>
      <c r="E107" s="371">
        <f>IF(E72&gt;0,E72,0)</f>
        <v>0</v>
      </c>
      <c r="F107" s="380">
        <f>IF(F72&gt;0,F72,0)</f>
        <v>0</v>
      </c>
    </row>
    <row r="108" spans="2:6" ht="14.1" hidden="1" customHeight="1" x14ac:dyDescent="0.2">
      <c r="B108" s="435" t="s">
        <v>425</v>
      </c>
      <c r="C108" s="371">
        <f t="shared" ref="C108:F109" si="2">IF(C74&gt;0,C74,0)</f>
        <v>0</v>
      </c>
      <c r="D108" s="371">
        <f t="shared" si="2"/>
        <v>0</v>
      </c>
      <c r="E108" s="371">
        <f t="shared" si="2"/>
        <v>0</v>
      </c>
      <c r="F108" s="380">
        <f t="shared" si="2"/>
        <v>0</v>
      </c>
    </row>
    <row r="109" spans="2:6" ht="14.1" hidden="1" customHeight="1" x14ac:dyDescent="0.2">
      <c r="B109" s="435" t="s">
        <v>426</v>
      </c>
      <c r="C109" s="371">
        <f t="shared" si="2"/>
        <v>0</v>
      </c>
      <c r="D109" s="371">
        <f t="shared" si="2"/>
        <v>0</v>
      </c>
      <c r="E109" s="371">
        <f t="shared" si="2"/>
        <v>0</v>
      </c>
      <c r="F109" s="380">
        <f t="shared" si="2"/>
        <v>0</v>
      </c>
    </row>
    <row r="110" spans="2:6" ht="14.1" hidden="1" customHeight="1" x14ac:dyDescent="0.2">
      <c r="B110" s="436" t="s">
        <v>422</v>
      </c>
      <c r="C110" s="371">
        <f>IF(C82&gt;0,C82,0)</f>
        <v>0</v>
      </c>
      <c r="D110" s="371">
        <f>IF(D82&gt;0,D82,0)</f>
        <v>0</v>
      </c>
      <c r="E110" s="371">
        <f>IF(E82&gt;0,E82,0)</f>
        <v>0</v>
      </c>
      <c r="F110" s="380">
        <f>IF(F82&gt;0,F82,0)</f>
        <v>0</v>
      </c>
    </row>
    <row r="111" spans="2:6" ht="14.1" hidden="1" customHeight="1" x14ac:dyDescent="0.2">
      <c r="B111" s="437" t="s">
        <v>15</v>
      </c>
      <c r="C111" s="382">
        <f>SUM(C103:C110)</f>
        <v>26832831.399999999</v>
      </c>
      <c r="D111" s="382">
        <f>SUM(D103:D110)</f>
        <v>41689822.240000002</v>
      </c>
      <c r="E111" s="382">
        <f>SUM(E103:E110)</f>
        <v>6753537.4900000002</v>
      </c>
      <c r="F111" s="424">
        <f>SUM(F103:F110)</f>
        <v>10464076.02</v>
      </c>
    </row>
    <row r="112" spans="2:6" ht="14.1" hidden="1" customHeight="1" x14ac:dyDescent="0.2">
      <c r="C112" s="420"/>
      <c r="D112" s="420"/>
      <c r="E112" s="420"/>
      <c r="F112" s="420"/>
    </row>
    <row r="113" spans="2:6" ht="14.1" hidden="1" customHeight="1" x14ac:dyDescent="0.2">
      <c r="B113" s="433" t="s">
        <v>1</v>
      </c>
      <c r="C113" s="426"/>
      <c r="D113" s="426"/>
      <c r="E113" s="426"/>
      <c r="F113" s="425"/>
    </row>
    <row r="114" spans="2:6" ht="14.1" hidden="1" customHeight="1" x14ac:dyDescent="0.2">
      <c r="B114" s="434" t="s">
        <v>419</v>
      </c>
      <c r="C114" s="371">
        <f>IF(C24&lt;0,C24,0)</f>
        <v>0</v>
      </c>
      <c r="D114" s="371">
        <f>IF(D24&lt;0,D24,0)</f>
        <v>0</v>
      </c>
      <c r="E114" s="371">
        <f>IF(E24&lt;0,E24,0)</f>
        <v>-33476020.27</v>
      </c>
      <c r="F114" s="380">
        <f>IF(F24&lt;0,F24,0)</f>
        <v>-40891983.280000001</v>
      </c>
    </row>
    <row r="115" spans="2:6" ht="14.1" hidden="1" customHeight="1" x14ac:dyDescent="0.2">
      <c r="B115" s="435" t="s">
        <v>423</v>
      </c>
      <c r="C115" s="371">
        <f t="shared" ref="C115:F116" si="3">IF(C51&lt;0,C51,0)</f>
        <v>-462335.85</v>
      </c>
      <c r="D115" s="371">
        <f t="shared" si="3"/>
        <v>0</v>
      </c>
      <c r="E115" s="371">
        <f t="shared" si="3"/>
        <v>0</v>
      </c>
      <c r="F115" s="380">
        <f t="shared" si="3"/>
        <v>0</v>
      </c>
    </row>
    <row r="116" spans="2:6" ht="14.1" hidden="1" customHeight="1" x14ac:dyDescent="0.2">
      <c r="B116" s="435" t="s">
        <v>424</v>
      </c>
      <c r="C116" s="371">
        <f t="shared" si="3"/>
        <v>0</v>
      </c>
      <c r="D116" s="371">
        <f t="shared" si="3"/>
        <v>0</v>
      </c>
      <c r="E116" s="371">
        <f t="shared" si="3"/>
        <v>0</v>
      </c>
      <c r="F116" s="380">
        <f t="shared" si="3"/>
        <v>0</v>
      </c>
    </row>
    <row r="117" spans="2:6" ht="14.1" hidden="1" customHeight="1" x14ac:dyDescent="0.2">
      <c r="B117" s="436" t="s">
        <v>420</v>
      </c>
      <c r="C117" s="371">
        <f>IF(C69&lt;0,C69,0)</f>
        <v>0</v>
      </c>
      <c r="D117" s="371">
        <f>IF(D69&lt;0,D69,0)</f>
        <v>0</v>
      </c>
      <c r="E117" s="371">
        <f>IF(E69&lt;0,E69,0)</f>
        <v>0</v>
      </c>
      <c r="F117" s="380">
        <f>IF(F69&lt;0,F69,0)</f>
        <v>0</v>
      </c>
    </row>
    <row r="118" spans="2:6" ht="14.1" hidden="1" customHeight="1" x14ac:dyDescent="0.2">
      <c r="B118" s="436" t="s">
        <v>421</v>
      </c>
      <c r="C118" s="371">
        <f>IF(C72&lt;0,C72,0)</f>
        <v>0</v>
      </c>
      <c r="D118" s="371">
        <f>IF(D72&lt;0,D72,0)</f>
        <v>0</v>
      </c>
      <c r="E118" s="371">
        <f>IF(E72&lt;0,E72,0)</f>
        <v>0</v>
      </c>
      <c r="F118" s="380">
        <f>IF(F72&lt;0,F72,0)</f>
        <v>0</v>
      </c>
    </row>
    <row r="119" spans="2:6" ht="14.1" hidden="1" customHeight="1" x14ac:dyDescent="0.2">
      <c r="B119" s="435" t="s">
        <v>425</v>
      </c>
      <c r="C119" s="371">
        <f t="shared" ref="C119:F120" si="4">IF(C74&lt;0,C74,0)</f>
        <v>0</v>
      </c>
      <c r="D119" s="371">
        <f t="shared" si="4"/>
        <v>0</v>
      </c>
      <c r="E119" s="371">
        <f t="shared" si="4"/>
        <v>0</v>
      </c>
      <c r="F119" s="380">
        <f t="shared" si="4"/>
        <v>0</v>
      </c>
    </row>
    <row r="120" spans="2:6" ht="14.1" hidden="1" customHeight="1" x14ac:dyDescent="0.2">
      <c r="B120" s="435" t="s">
        <v>426</v>
      </c>
      <c r="C120" s="371">
        <f t="shared" si="4"/>
        <v>0</v>
      </c>
      <c r="D120" s="371">
        <f t="shared" si="4"/>
        <v>0</v>
      </c>
      <c r="E120" s="371">
        <f t="shared" si="4"/>
        <v>0</v>
      </c>
      <c r="F120" s="380">
        <f t="shared" si="4"/>
        <v>0</v>
      </c>
    </row>
    <row r="121" spans="2:6" ht="14.1" hidden="1" customHeight="1" x14ac:dyDescent="0.2">
      <c r="B121" s="436" t="s">
        <v>422</v>
      </c>
      <c r="C121" s="371">
        <f>IF(C82&lt;0,C82,0)</f>
        <v>0</v>
      </c>
      <c r="D121" s="371">
        <f>IF(D82&lt;0,D82,0)</f>
        <v>0</v>
      </c>
      <c r="E121" s="371">
        <f>IF(E82&lt;0,E82,0)</f>
        <v>0</v>
      </c>
      <c r="F121" s="380">
        <f>IF(F82&lt;0,F82,0)</f>
        <v>0</v>
      </c>
    </row>
    <row r="122" spans="2:6" ht="14.1" hidden="1" customHeight="1" x14ac:dyDescent="0.2">
      <c r="B122" s="437" t="s">
        <v>15</v>
      </c>
      <c r="C122" s="382">
        <f>SUM(C114:C121)</f>
        <v>-462335.85</v>
      </c>
      <c r="D122" s="382">
        <f>SUM(D114:D121)</f>
        <v>0</v>
      </c>
      <c r="E122" s="382">
        <f>SUM(E114:E121)</f>
        <v>-33476020.27</v>
      </c>
      <c r="F122" s="424">
        <f>SUM(F114:F121)</f>
        <v>-40891983.280000001</v>
      </c>
    </row>
    <row r="123" spans="2:6" ht="14.1" customHeight="1" x14ac:dyDescent="0.2"/>
    <row r="124" spans="2:6" ht="14.1" customHeight="1" x14ac:dyDescent="0.2"/>
    <row r="125" spans="2:6" ht="14.1" customHeight="1" x14ac:dyDescent="0.2"/>
    <row r="126" spans="2:6" ht="14.1" customHeight="1" x14ac:dyDescent="0.2"/>
    <row r="127" spans="2:6" ht="14.1" customHeight="1" x14ac:dyDescent="0.2"/>
    <row r="128" spans="2:6"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row r="219" ht="14.1" customHeight="1" x14ac:dyDescent="0.2"/>
    <row r="220" ht="14.1" customHeight="1" x14ac:dyDescent="0.2"/>
    <row r="221" ht="14.1" customHeight="1" x14ac:dyDescent="0.2"/>
    <row r="222" ht="14.1" customHeight="1" x14ac:dyDescent="0.2"/>
    <row r="223" ht="14.1" customHeight="1" x14ac:dyDescent="0.2"/>
    <row r="224" ht="14.1" customHeight="1" x14ac:dyDescent="0.2"/>
    <row r="225" ht="14.1" customHeight="1" x14ac:dyDescent="0.2"/>
    <row r="226" ht="14.1" customHeight="1" x14ac:dyDescent="0.2"/>
    <row r="227" ht="14.1" customHeight="1" x14ac:dyDescent="0.2"/>
    <row r="228" ht="14.1" customHeight="1" x14ac:dyDescent="0.2"/>
    <row r="229" ht="14.1" customHeight="1"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4.1" customHeight="1" x14ac:dyDescent="0.2"/>
    <row r="244" ht="14.1" customHeight="1" x14ac:dyDescent="0.2"/>
    <row r="245" ht="14.1" customHeight="1" x14ac:dyDescent="0.2"/>
    <row r="246" ht="14.1" customHeight="1" x14ac:dyDescent="0.2"/>
    <row r="247" ht="14.1" customHeight="1" x14ac:dyDescent="0.2"/>
    <row r="248" ht="14.1" customHeight="1" x14ac:dyDescent="0.2"/>
    <row r="249" ht="14.1" customHeight="1" x14ac:dyDescent="0.2"/>
    <row r="250" ht="14.1" customHeight="1" x14ac:dyDescent="0.2"/>
    <row r="251" ht="14.1" customHeight="1" x14ac:dyDescent="0.2"/>
    <row r="252" ht="14.1" customHeight="1" x14ac:dyDescent="0.2"/>
    <row r="253" ht="14.1" customHeight="1" x14ac:dyDescent="0.2"/>
    <row r="254" ht="14.1" customHeight="1" x14ac:dyDescent="0.2"/>
    <row r="255" ht="14.1" customHeight="1" x14ac:dyDescent="0.2"/>
    <row r="256" ht="14.1" customHeight="1" x14ac:dyDescent="0.2"/>
    <row r="257" ht="14.1" customHeight="1" x14ac:dyDescent="0.2"/>
    <row r="258" ht="14.1" customHeight="1" x14ac:dyDescent="0.2"/>
    <row r="259" ht="14.1" customHeight="1" x14ac:dyDescent="0.2"/>
    <row r="260" ht="14.1" customHeight="1" x14ac:dyDescent="0.2"/>
    <row r="261" ht="14.1" customHeight="1" x14ac:dyDescent="0.2"/>
    <row r="262" ht="14.1" customHeight="1" x14ac:dyDescent="0.2"/>
    <row r="263" ht="14.1" customHeight="1" x14ac:dyDescent="0.2"/>
    <row r="264" ht="14.1" customHeight="1" x14ac:dyDescent="0.2"/>
    <row r="265" ht="14.1" customHeight="1" x14ac:dyDescent="0.2"/>
    <row r="266" ht="14.1" customHeight="1" x14ac:dyDescent="0.2"/>
    <row r="267" ht="14.1" customHeight="1" x14ac:dyDescent="0.2"/>
    <row r="268" ht="14.1" customHeight="1" x14ac:dyDescent="0.2"/>
    <row r="269" ht="14.1" customHeight="1" x14ac:dyDescent="0.2"/>
    <row r="270" ht="14.1" customHeight="1" x14ac:dyDescent="0.2"/>
    <row r="271" ht="14.1" customHeight="1" x14ac:dyDescent="0.2"/>
    <row r="272" ht="14.1" customHeight="1" x14ac:dyDescent="0.2"/>
    <row r="273" ht="14.1" customHeight="1" x14ac:dyDescent="0.2"/>
    <row r="274" ht="14.1" customHeight="1" x14ac:dyDescent="0.2"/>
    <row r="275" ht="14.1" customHeight="1" x14ac:dyDescent="0.2"/>
    <row r="276" ht="14.1" customHeight="1" x14ac:dyDescent="0.2"/>
    <row r="277" ht="14.1" customHeight="1" x14ac:dyDescent="0.2"/>
    <row r="278" ht="14.1" customHeight="1" x14ac:dyDescent="0.2"/>
    <row r="279" ht="14.1" customHeight="1" x14ac:dyDescent="0.2"/>
    <row r="280" ht="14.1" customHeight="1" x14ac:dyDescent="0.2"/>
    <row r="281" ht="14.1" customHeight="1" x14ac:dyDescent="0.2"/>
    <row r="282" ht="14.1" customHeight="1" x14ac:dyDescent="0.2"/>
    <row r="283" ht="14.1" customHeight="1" x14ac:dyDescent="0.2"/>
    <row r="284" ht="14.1" customHeight="1" x14ac:dyDescent="0.2"/>
    <row r="285" ht="14.1" customHeight="1" x14ac:dyDescent="0.2"/>
    <row r="286" ht="14.1" customHeight="1" x14ac:dyDescent="0.2"/>
    <row r="287" ht="14.1" customHeight="1" x14ac:dyDescent="0.2"/>
    <row r="288" ht="14.1" customHeight="1" x14ac:dyDescent="0.2"/>
    <row r="289" ht="14.1" customHeight="1" x14ac:dyDescent="0.2"/>
    <row r="290" ht="14.1" customHeight="1" x14ac:dyDescent="0.2"/>
    <row r="291" ht="14.1" customHeight="1" x14ac:dyDescent="0.2"/>
    <row r="292" ht="14.1" customHeight="1" x14ac:dyDescent="0.2"/>
    <row r="293" ht="14.1" customHeight="1" x14ac:dyDescent="0.2"/>
    <row r="294" ht="14.1" customHeight="1" x14ac:dyDescent="0.2"/>
    <row r="295" ht="14.1" customHeight="1" x14ac:dyDescent="0.2"/>
    <row r="296" ht="14.1" customHeight="1" x14ac:dyDescent="0.2"/>
    <row r="297" ht="14.1" customHeight="1" x14ac:dyDescent="0.2"/>
    <row r="298" ht="14.1" customHeight="1" x14ac:dyDescent="0.2"/>
    <row r="299" ht="14.1" customHeight="1" x14ac:dyDescent="0.2"/>
    <row r="300" ht="14.1" customHeight="1" x14ac:dyDescent="0.2"/>
    <row r="301" ht="14.1" customHeight="1" x14ac:dyDescent="0.2"/>
    <row r="302" ht="14.1" customHeight="1" x14ac:dyDescent="0.2"/>
    <row r="303" ht="14.1" customHeight="1" x14ac:dyDescent="0.2"/>
    <row r="304" ht="14.1" customHeight="1" x14ac:dyDescent="0.2"/>
    <row r="305" ht="14.1" customHeight="1" x14ac:dyDescent="0.2"/>
    <row r="306" ht="14.1" customHeight="1" x14ac:dyDescent="0.2"/>
    <row r="307" ht="14.1" customHeight="1" x14ac:dyDescent="0.2"/>
    <row r="308" ht="14.1" customHeight="1" x14ac:dyDescent="0.2"/>
    <row r="309" ht="14.1" customHeight="1" x14ac:dyDescent="0.2"/>
    <row r="310" ht="14.1" customHeight="1" x14ac:dyDescent="0.2"/>
    <row r="311" ht="14.1" customHeight="1" x14ac:dyDescent="0.2"/>
    <row r="312" ht="14.1" customHeight="1" x14ac:dyDescent="0.2"/>
    <row r="313" ht="14.1" customHeight="1" x14ac:dyDescent="0.2"/>
    <row r="314" ht="14.1" customHeight="1" x14ac:dyDescent="0.2"/>
    <row r="315" ht="14.1" customHeight="1" x14ac:dyDescent="0.2"/>
    <row r="316" ht="14.1" customHeight="1" x14ac:dyDescent="0.2"/>
    <row r="317" ht="14.1" customHeight="1" x14ac:dyDescent="0.2"/>
    <row r="318" ht="14.1" customHeight="1" x14ac:dyDescent="0.2"/>
    <row r="319" ht="14.1" customHeight="1" x14ac:dyDescent="0.2"/>
    <row r="320" ht="14.1" customHeight="1" x14ac:dyDescent="0.2"/>
    <row r="321" ht="14.1" customHeight="1" x14ac:dyDescent="0.2"/>
    <row r="322" ht="14.1" customHeight="1" x14ac:dyDescent="0.2"/>
    <row r="323" ht="14.1" customHeight="1" x14ac:dyDescent="0.2"/>
    <row r="324" ht="14.1" customHeight="1" x14ac:dyDescent="0.2"/>
    <row r="325" ht="14.1" customHeight="1" x14ac:dyDescent="0.2"/>
    <row r="326" ht="14.1" customHeight="1" x14ac:dyDescent="0.2"/>
    <row r="327" ht="14.1" customHeight="1" x14ac:dyDescent="0.2"/>
    <row r="328" ht="14.1" customHeight="1" x14ac:dyDescent="0.2"/>
    <row r="329" ht="14.1" customHeight="1" x14ac:dyDescent="0.2"/>
    <row r="330" ht="14.1" customHeight="1" x14ac:dyDescent="0.2"/>
    <row r="331" ht="14.1" customHeight="1" x14ac:dyDescent="0.2"/>
    <row r="332" ht="14.1" customHeight="1" x14ac:dyDescent="0.2"/>
    <row r="333" ht="14.1" customHeight="1" x14ac:dyDescent="0.2"/>
    <row r="334" ht="14.1" customHeight="1" x14ac:dyDescent="0.2"/>
    <row r="335" ht="14.1" customHeight="1" x14ac:dyDescent="0.2"/>
    <row r="336" ht="14.1" customHeight="1" x14ac:dyDescent="0.2"/>
    <row r="337" ht="14.1" customHeight="1" x14ac:dyDescent="0.2"/>
    <row r="338" ht="14.1" customHeight="1" x14ac:dyDescent="0.2"/>
    <row r="339" ht="14.1" customHeight="1" x14ac:dyDescent="0.2"/>
    <row r="340" ht="14.1" customHeight="1" x14ac:dyDescent="0.2"/>
    <row r="341" ht="14.1" customHeight="1" x14ac:dyDescent="0.2"/>
    <row r="342" ht="14.1" customHeight="1" x14ac:dyDescent="0.2"/>
    <row r="343" ht="14.1" customHeight="1" x14ac:dyDescent="0.2"/>
    <row r="344" ht="14.1" customHeight="1" x14ac:dyDescent="0.2"/>
    <row r="345" ht="14.1" customHeight="1" x14ac:dyDescent="0.2"/>
    <row r="346" ht="14.1" customHeight="1" x14ac:dyDescent="0.2"/>
    <row r="347" ht="14.1" customHeight="1" x14ac:dyDescent="0.2"/>
    <row r="348" ht="14.1" customHeight="1" x14ac:dyDescent="0.2"/>
    <row r="349" ht="14.1" customHeight="1" x14ac:dyDescent="0.2"/>
    <row r="350" ht="14.1" customHeight="1" x14ac:dyDescent="0.2"/>
    <row r="351" ht="14.1" customHeight="1" x14ac:dyDescent="0.2"/>
    <row r="352" ht="14.1" customHeight="1" x14ac:dyDescent="0.2"/>
    <row r="353" ht="14.1" customHeight="1" x14ac:dyDescent="0.2"/>
    <row r="354" ht="14.1" customHeight="1" x14ac:dyDescent="0.2"/>
    <row r="355" ht="14.1" customHeight="1" x14ac:dyDescent="0.2"/>
    <row r="356" ht="14.1" customHeight="1" x14ac:dyDescent="0.2"/>
    <row r="357" ht="14.1" customHeight="1" x14ac:dyDescent="0.2"/>
    <row r="358" ht="14.1" customHeight="1" x14ac:dyDescent="0.2"/>
    <row r="359" ht="14.1" customHeight="1" x14ac:dyDescent="0.2"/>
    <row r="360" ht="14.1" customHeight="1" x14ac:dyDescent="0.2"/>
    <row r="361" ht="14.1" customHeight="1" x14ac:dyDescent="0.2"/>
    <row r="362" ht="14.1" customHeight="1" x14ac:dyDescent="0.2"/>
    <row r="363" ht="14.1" customHeight="1" x14ac:dyDescent="0.2"/>
    <row r="364" ht="14.1" customHeight="1" x14ac:dyDescent="0.2"/>
    <row r="365" ht="14.1" customHeight="1" x14ac:dyDescent="0.2"/>
    <row r="366" ht="14.1" customHeight="1" x14ac:dyDescent="0.2"/>
    <row r="367" ht="14.1" customHeight="1" x14ac:dyDescent="0.2"/>
    <row r="368" ht="14.1" customHeight="1" x14ac:dyDescent="0.2"/>
    <row r="369" ht="14.1" customHeight="1" x14ac:dyDescent="0.2"/>
    <row r="370" ht="14.1" customHeight="1" x14ac:dyDescent="0.2"/>
    <row r="371" ht="14.1" customHeight="1" x14ac:dyDescent="0.2"/>
    <row r="372" ht="14.1" customHeight="1" x14ac:dyDescent="0.2"/>
    <row r="373" ht="14.1" customHeight="1" x14ac:dyDescent="0.2"/>
    <row r="374" ht="14.1" customHeight="1" x14ac:dyDescent="0.2"/>
    <row r="375" ht="14.1" customHeight="1" x14ac:dyDescent="0.2"/>
    <row r="376" ht="14.1" customHeight="1" x14ac:dyDescent="0.2"/>
    <row r="377" ht="14.1" customHeight="1" x14ac:dyDescent="0.2"/>
    <row r="378" ht="14.1" customHeight="1" x14ac:dyDescent="0.2"/>
    <row r="379" ht="14.1" customHeight="1" x14ac:dyDescent="0.2"/>
    <row r="380" ht="14.1" customHeight="1" x14ac:dyDescent="0.2"/>
    <row r="381" ht="14.1" customHeight="1" x14ac:dyDescent="0.2"/>
    <row r="382" ht="14.1" customHeight="1" x14ac:dyDescent="0.2"/>
    <row r="383" ht="14.1" customHeight="1" x14ac:dyDescent="0.2"/>
    <row r="384" ht="14.1" customHeight="1" x14ac:dyDescent="0.2"/>
    <row r="385" ht="14.1" customHeight="1" x14ac:dyDescent="0.2"/>
    <row r="386" ht="14.1" customHeight="1" x14ac:dyDescent="0.2"/>
    <row r="387" ht="14.1" customHeight="1" x14ac:dyDescent="0.2"/>
    <row r="388" ht="14.1" customHeight="1" x14ac:dyDescent="0.2"/>
    <row r="389" ht="14.1" customHeight="1" x14ac:dyDescent="0.2"/>
    <row r="390" ht="14.1" customHeight="1" x14ac:dyDescent="0.2"/>
    <row r="391" ht="14.1" customHeight="1" x14ac:dyDescent="0.2"/>
    <row r="392" ht="14.1" customHeight="1" x14ac:dyDescent="0.2"/>
    <row r="393" ht="14.1" customHeight="1" x14ac:dyDescent="0.2"/>
    <row r="394" ht="14.1" customHeight="1" x14ac:dyDescent="0.2"/>
    <row r="395" ht="14.1" customHeight="1" x14ac:dyDescent="0.2"/>
    <row r="396" ht="14.1" customHeight="1" x14ac:dyDescent="0.2"/>
    <row r="397" ht="14.1" customHeight="1" x14ac:dyDescent="0.2"/>
    <row r="398" ht="14.1" customHeight="1" x14ac:dyDescent="0.2"/>
    <row r="399" ht="14.1" customHeight="1" x14ac:dyDescent="0.2"/>
    <row r="400" ht="14.1" customHeight="1" x14ac:dyDescent="0.2"/>
  </sheetData>
  <sheetProtection password="CE88" sheet="1" objects="1" scenarios="1"/>
  <mergeCells count="8">
    <mergeCell ref="A90:B90"/>
    <mergeCell ref="A92:B92"/>
    <mergeCell ref="B94:F94"/>
    <mergeCell ref="K9:L9"/>
    <mergeCell ref="M9:N9"/>
    <mergeCell ref="I10:J10"/>
    <mergeCell ref="B3:F3"/>
    <mergeCell ref="A89:B89"/>
  </mergeCells>
  <phoneticPr fontId="0" type="noConversion"/>
  <conditionalFormatting sqref="C98:F98">
    <cfRule type="cellIs" dxfId="34" priority="1" stopIfTrue="1" operator="notEqual">
      <formula>C84</formula>
    </cfRule>
  </conditionalFormatting>
  <conditionalFormatting sqref="C15:F18 C20:F23 C25:F25 C32:F34 C48:F49 C54:F54 C59:F60 C62:F64">
    <cfRule type="cellIs" dxfId="33" priority="2" stopIfTrue="1" operator="lessThan">
      <formula>0</formula>
    </cfRule>
  </conditionalFormatting>
  <conditionalFormatting sqref="C29:F29 C36:F37 C40:F40 C43:F43 C45:F47 C55:F55 C66:F68">
    <cfRule type="cellIs" dxfId="32" priority="3" stopIfTrue="1" operator="greaterThan">
      <formula>0</formula>
    </cfRule>
  </conditionalFormatting>
  <printOptions horizontalCentered="1" verticalCentered="1"/>
  <pageMargins left="0.74803149606299213" right="0.70866141732283472" top="0.55118110236220474" bottom="0.98425196850393704" header="0" footer="0.39370078740157483"/>
  <pageSetup paperSize="9" scale="6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51"/>
  <sheetViews>
    <sheetView showZeros="0" topLeftCell="D1" zoomScale="75" workbookViewId="0">
      <selection activeCell="I31" sqref="I31"/>
    </sheetView>
  </sheetViews>
  <sheetFormatPr baseColWidth="10" defaultRowHeight="12.75" x14ac:dyDescent="0.2"/>
  <cols>
    <col min="1" max="1" width="18.5703125" style="286" customWidth="1"/>
    <col min="2" max="2" width="55.28515625" style="286" customWidth="1"/>
    <col min="3" max="5" width="20.7109375" style="286" customWidth="1"/>
    <col min="6" max="6" width="55.28515625" style="286" customWidth="1"/>
    <col min="7" max="10" width="20.7109375" style="286" customWidth="1"/>
    <col min="11" max="16384" width="11.42578125" style="286"/>
  </cols>
  <sheetData>
    <row r="2" spans="1:9" ht="13.5" thickBot="1" x14ac:dyDescent="0.25"/>
    <row r="3" spans="1:9" ht="18" customHeight="1" thickTop="1" thickBot="1" x14ac:dyDescent="0.3">
      <c r="B3" s="287" t="str">
        <f>PyG!B4</f>
        <v>PRESUPUESTO 2013</v>
      </c>
      <c r="D3" s="288" t="s">
        <v>350</v>
      </c>
      <c r="I3" s="289" t="s">
        <v>447</v>
      </c>
    </row>
    <row r="4" spans="1:9" ht="18" customHeight="1" thickTop="1" x14ac:dyDescent="0.25">
      <c r="B4" s="290" t="str">
        <f>PyG!B5</f>
        <v>CENTRO: 701</v>
      </c>
      <c r="C4" s="287"/>
      <c r="E4" s="291"/>
      <c r="F4" s="291"/>
      <c r="G4" s="291"/>
      <c r="H4" s="291"/>
      <c r="I4" s="291"/>
    </row>
    <row r="5" spans="1:9" ht="18" customHeight="1" x14ac:dyDescent="0.25">
      <c r="B5" s="290" t="str">
        <f>PyG!B6</f>
        <v>SECCION: 035</v>
      </c>
      <c r="C5" s="287"/>
      <c r="D5" s="291"/>
      <c r="E5" s="287"/>
      <c r="F5" s="291"/>
      <c r="G5" s="291"/>
      <c r="H5" s="287"/>
      <c r="I5" s="291"/>
    </row>
    <row r="6" spans="1:9" ht="18" customHeight="1" x14ac:dyDescent="0.25">
      <c r="B6" s="290" t="str">
        <f>PyG!B7</f>
        <v>SOCIEDAD: EMPRESA MUNICIPAL DE LA VIVIENDA Y SUELO DE MADRID S.A.</v>
      </c>
      <c r="C6" s="287"/>
      <c r="D6" s="291"/>
      <c r="E6" s="287"/>
      <c r="F6" s="291"/>
      <c r="G6" s="291"/>
      <c r="H6" s="287"/>
      <c r="I6" s="291"/>
    </row>
    <row r="7" spans="1:9" ht="6" customHeight="1" thickBot="1" x14ac:dyDescent="0.3">
      <c r="B7" s="287"/>
      <c r="D7" s="291"/>
      <c r="E7" s="287"/>
      <c r="F7" s="291"/>
      <c r="G7" s="291"/>
      <c r="H7" s="287"/>
      <c r="I7" s="291"/>
    </row>
    <row r="8" spans="1:9" ht="15.75" x14ac:dyDescent="0.25">
      <c r="B8" s="509" t="s">
        <v>292</v>
      </c>
      <c r="C8" s="292" t="s">
        <v>4</v>
      </c>
      <c r="D8" s="292" t="s">
        <v>5</v>
      </c>
      <c r="E8" s="292" t="s">
        <v>4</v>
      </c>
      <c r="F8" s="511" t="s">
        <v>293</v>
      </c>
      <c r="G8" s="292" t="s">
        <v>4</v>
      </c>
      <c r="H8" s="292" t="s">
        <v>5</v>
      </c>
      <c r="I8" s="293" t="s">
        <v>4</v>
      </c>
    </row>
    <row r="9" spans="1:9" ht="16.5" thickBot="1" x14ac:dyDescent="0.3">
      <c r="B9" s="510"/>
      <c r="C9" s="294">
        <v>2012</v>
      </c>
      <c r="D9" s="294">
        <v>2012</v>
      </c>
      <c r="E9" s="295">
        <v>2013</v>
      </c>
      <c r="F9" s="512"/>
      <c r="G9" s="294">
        <f>C9</f>
        <v>2012</v>
      </c>
      <c r="H9" s="294">
        <f>D9</f>
        <v>2012</v>
      </c>
      <c r="I9" s="296">
        <f>E9</f>
        <v>2013</v>
      </c>
    </row>
    <row r="10" spans="1:9" ht="11.25" customHeight="1" thickTop="1" x14ac:dyDescent="0.3">
      <c r="B10" s="297"/>
      <c r="C10" s="329"/>
      <c r="D10" s="329"/>
      <c r="E10" s="329"/>
      <c r="F10" s="298"/>
      <c r="G10" s="453"/>
      <c r="H10" s="334"/>
      <c r="I10" s="335"/>
    </row>
    <row r="11" spans="1:9" ht="15.95" customHeight="1" x14ac:dyDescent="0.25">
      <c r="B11" s="299" t="s">
        <v>313</v>
      </c>
      <c r="C11" s="300">
        <v>83998721</v>
      </c>
      <c r="D11" s="300">
        <f>D12+D17+D23+D26</f>
        <v>13323368.890000001</v>
      </c>
      <c r="E11" s="300">
        <f>E12+E17+E23+E26</f>
        <v>13296155</v>
      </c>
      <c r="F11" s="302" t="s">
        <v>294</v>
      </c>
      <c r="G11" s="300">
        <v>-49417315.870000005</v>
      </c>
      <c r="H11" s="300">
        <f>SUM(H12:H23)</f>
        <v>27720450.260000069</v>
      </c>
      <c r="I11" s="303">
        <f>SUM(I12:I23)</f>
        <v>46859193.440000027</v>
      </c>
    </row>
    <row r="12" spans="1:9" ht="12.95" customHeight="1" x14ac:dyDescent="0.2">
      <c r="B12" s="308" t="s">
        <v>314</v>
      </c>
      <c r="C12" s="305">
        <v>1070000</v>
      </c>
      <c r="D12" s="305">
        <f>SUM(D13:D16)</f>
        <v>0</v>
      </c>
      <c r="E12" s="305">
        <f>SUM(E13:E16)</f>
        <v>925000</v>
      </c>
      <c r="F12" s="304" t="s">
        <v>295</v>
      </c>
      <c r="G12" s="305">
        <v>2.000001072883606E-2</v>
      </c>
      <c r="H12" s="305">
        <f>PyG!E84</f>
        <v>-11592130.300000006</v>
      </c>
      <c r="I12" s="306">
        <f>PyG!F84</f>
        <v>-0.44000000506639481</v>
      </c>
    </row>
    <row r="13" spans="1:9" ht="15.95" customHeight="1" x14ac:dyDescent="0.2">
      <c r="B13" s="310" t="s">
        <v>315</v>
      </c>
      <c r="C13" s="305"/>
      <c r="D13" s="99"/>
      <c r="E13" s="99"/>
      <c r="F13" s="304" t="s">
        <v>335</v>
      </c>
      <c r="G13" s="305">
        <v>7900000</v>
      </c>
      <c r="H13" s="305">
        <f>EFE!E15</f>
        <v>8921329.1099999994</v>
      </c>
      <c r="I13" s="306">
        <f>EFE!F15</f>
        <v>8799816.1300000008</v>
      </c>
    </row>
    <row r="14" spans="1:9" ht="12.95" customHeight="1" x14ac:dyDescent="0.2">
      <c r="B14" s="308" t="s">
        <v>316</v>
      </c>
      <c r="C14" s="305"/>
      <c r="D14" s="99"/>
      <c r="E14" s="99"/>
      <c r="F14" s="304" t="s">
        <v>336</v>
      </c>
      <c r="G14" s="305">
        <v>6500000</v>
      </c>
      <c r="H14" s="305">
        <f>EFE!E16</f>
        <v>1896613.84</v>
      </c>
      <c r="I14" s="306">
        <f>EFE!F16</f>
        <v>6200000</v>
      </c>
    </row>
    <row r="15" spans="1:9" ht="12.95" customHeight="1" x14ac:dyDescent="0.2">
      <c r="A15" s="309"/>
      <c r="B15" s="308" t="s">
        <v>317</v>
      </c>
      <c r="C15" s="305">
        <v>1070000</v>
      </c>
      <c r="D15" s="99"/>
      <c r="E15" s="99">
        <v>925000</v>
      </c>
      <c r="F15" s="311" t="s">
        <v>337</v>
      </c>
      <c r="G15" s="305">
        <v>8020000</v>
      </c>
      <c r="H15" s="305">
        <f>EFE!E17</f>
        <v>3723892.43</v>
      </c>
      <c r="I15" s="306">
        <f>EFE!F17</f>
        <v>1247892</v>
      </c>
    </row>
    <row r="16" spans="1:9" ht="12.95" customHeight="1" x14ac:dyDescent="0.2">
      <c r="A16" s="309"/>
      <c r="B16" s="308" t="s">
        <v>318</v>
      </c>
      <c r="C16" s="305"/>
      <c r="D16" s="99"/>
      <c r="E16" s="99"/>
      <c r="F16" s="304" t="s">
        <v>338</v>
      </c>
      <c r="G16" s="305">
        <v>-16344846.68</v>
      </c>
      <c r="H16" s="305">
        <f>EFE!E18</f>
        <v>-9123990</v>
      </c>
      <c r="I16" s="306">
        <f>EFE!F18</f>
        <v>-5996421.0700000003</v>
      </c>
    </row>
    <row r="17" spans="1:9" ht="12.95" customHeight="1" x14ac:dyDescent="0.2">
      <c r="A17" s="309"/>
      <c r="B17" s="310" t="s">
        <v>319</v>
      </c>
      <c r="C17" s="305">
        <v>33030963</v>
      </c>
      <c r="D17" s="305">
        <f>SUM(D18:D22)</f>
        <v>5604770</v>
      </c>
      <c r="E17" s="305">
        <f>SUM(E18:E22)</f>
        <v>0</v>
      </c>
      <c r="F17" s="311" t="s">
        <v>339</v>
      </c>
      <c r="G17" s="305">
        <v>-24800543.600000001</v>
      </c>
      <c r="H17" s="305">
        <f>EFE!E19</f>
        <v>-6753537.4900000002</v>
      </c>
      <c r="I17" s="306">
        <f>EFE!F19</f>
        <v>-10464076.02</v>
      </c>
    </row>
    <row r="18" spans="1:9" ht="12.95" customHeight="1" x14ac:dyDescent="0.2">
      <c r="A18" s="309"/>
      <c r="B18" s="308" t="s">
        <v>296</v>
      </c>
      <c r="C18" s="305"/>
      <c r="D18" s="99"/>
      <c r="E18" s="99"/>
      <c r="F18" s="311" t="s">
        <v>340</v>
      </c>
      <c r="G18" s="305">
        <v>0</v>
      </c>
      <c r="H18" s="305">
        <f>EFE!E20</f>
        <v>0</v>
      </c>
      <c r="I18" s="306">
        <f>EFE!F20</f>
        <v>0</v>
      </c>
    </row>
    <row r="19" spans="1:9" ht="12.95" customHeight="1" x14ac:dyDescent="0.2">
      <c r="B19" s="308" t="s">
        <v>297</v>
      </c>
      <c r="C19" s="305"/>
      <c r="D19" s="99">
        <v>508683</v>
      </c>
      <c r="E19" s="99"/>
      <c r="F19" s="311" t="s">
        <v>341</v>
      </c>
      <c r="G19" s="305">
        <v>0</v>
      </c>
      <c r="H19" s="305">
        <f>EFE!E23</f>
        <v>0</v>
      </c>
      <c r="I19" s="306">
        <f>EFE!F23</f>
        <v>0</v>
      </c>
    </row>
    <row r="20" spans="1:9" ht="15.95" customHeight="1" x14ac:dyDescent="0.2">
      <c r="A20" s="309"/>
      <c r="B20" s="308" t="s">
        <v>298</v>
      </c>
      <c r="C20" s="305"/>
      <c r="D20" s="99"/>
      <c r="E20" s="99"/>
      <c r="F20" s="311" t="s">
        <v>342</v>
      </c>
      <c r="G20" s="305">
        <v>0</v>
      </c>
      <c r="H20" s="305">
        <f>EFE!E24</f>
        <v>0</v>
      </c>
      <c r="I20" s="306">
        <f>EFE!F24</f>
        <v>0</v>
      </c>
    </row>
    <row r="21" spans="1:9" ht="12.95" customHeight="1" x14ac:dyDescent="0.2">
      <c r="A21" s="309"/>
      <c r="B21" s="308" t="s">
        <v>299</v>
      </c>
      <c r="C21" s="305">
        <v>33030963</v>
      </c>
      <c r="D21" s="99">
        <v>5096087</v>
      </c>
      <c r="E21" s="99"/>
      <c r="F21" s="311" t="s">
        <v>393</v>
      </c>
      <c r="G21" s="305">
        <v>-30691925.610000014</v>
      </c>
      <c r="H21" s="397">
        <f>(BAL!E35-BAL!E41)-(BAL!G35-BAL!G41)</f>
        <v>40684943.670000076</v>
      </c>
      <c r="I21" s="398">
        <f>(BAL!G35-BAL!G41)-(BAL!H35-BAL!H41)</f>
        <v>47091982.840000033</v>
      </c>
    </row>
    <row r="22" spans="1:9" ht="12.95" customHeight="1" x14ac:dyDescent="0.2">
      <c r="A22" s="309"/>
      <c r="B22" s="308" t="s">
        <v>300</v>
      </c>
      <c r="C22" s="305"/>
      <c r="D22" s="99"/>
      <c r="E22" s="99"/>
      <c r="F22" s="311" t="s">
        <v>398</v>
      </c>
      <c r="G22" s="305">
        <v>0</v>
      </c>
      <c r="H22" s="397">
        <f>-PyG!E78-PyG!E89</f>
        <v>-36671</v>
      </c>
      <c r="I22" s="398">
        <f>-PyG!F78-PyG!F89</f>
        <v>-20000</v>
      </c>
    </row>
    <row r="23" spans="1:9" ht="12.95" customHeight="1" x14ac:dyDescent="0.2">
      <c r="A23" s="309"/>
      <c r="B23" s="308" t="s">
        <v>320</v>
      </c>
      <c r="C23" s="305">
        <v>48677758</v>
      </c>
      <c r="D23" s="305">
        <f>SUM(D24:D25)</f>
        <v>6246490.8899999997</v>
      </c>
      <c r="E23" s="305">
        <f>SUM(E24:E25)</f>
        <v>8266215</v>
      </c>
      <c r="F23" s="311" t="s">
        <v>399</v>
      </c>
      <c r="G23" s="305">
        <v>0</v>
      </c>
      <c r="H23" s="305">
        <f>EFE!E25</f>
        <v>0</v>
      </c>
      <c r="I23" s="306">
        <f>EFE!F25</f>
        <v>0</v>
      </c>
    </row>
    <row r="24" spans="1:9" ht="12.95" customHeight="1" x14ac:dyDescent="0.2">
      <c r="A24" s="309"/>
      <c r="B24" s="308" t="s">
        <v>321</v>
      </c>
      <c r="C24" s="305"/>
      <c r="D24" s="99"/>
      <c r="E24" s="99">
        <v>8266215</v>
      </c>
      <c r="G24" s="454"/>
      <c r="H24" s="391"/>
      <c r="I24" s="392"/>
    </row>
    <row r="25" spans="1:9" ht="12.95" customHeight="1" x14ac:dyDescent="0.25">
      <c r="B25" s="308" t="s">
        <v>322</v>
      </c>
      <c r="C25" s="305">
        <v>48677758</v>
      </c>
      <c r="D25" s="99">
        <v>6246490.8899999997</v>
      </c>
      <c r="E25" s="99"/>
      <c r="F25" s="302" t="s">
        <v>301</v>
      </c>
      <c r="G25" s="300">
        <v>0</v>
      </c>
      <c r="H25" s="300">
        <f>SUM(H26:H27)</f>
        <v>0</v>
      </c>
      <c r="I25" s="303">
        <f>SUM(I26:I27)</f>
        <v>0</v>
      </c>
    </row>
    <row r="26" spans="1:9" ht="12.95" customHeight="1" x14ac:dyDescent="0.2">
      <c r="A26" s="309"/>
      <c r="B26" s="308" t="s">
        <v>323</v>
      </c>
      <c r="C26" s="305">
        <v>1220000</v>
      </c>
      <c r="D26" s="305">
        <f>SUM(D27:D32)</f>
        <v>1472108</v>
      </c>
      <c r="E26" s="305">
        <f>SUM(E27:E32)</f>
        <v>4104940</v>
      </c>
      <c r="F26" s="304" t="s">
        <v>302</v>
      </c>
      <c r="G26" s="305"/>
      <c r="H26" s="99"/>
      <c r="I26" s="307"/>
    </row>
    <row r="27" spans="1:9" ht="12.95" customHeight="1" x14ac:dyDescent="0.2">
      <c r="A27" s="309"/>
      <c r="B27" s="183" t="s">
        <v>324</v>
      </c>
      <c r="C27" s="305"/>
      <c r="D27" s="99"/>
      <c r="E27" s="99"/>
      <c r="F27" s="304" t="s">
        <v>303</v>
      </c>
      <c r="G27" s="305"/>
      <c r="H27" s="99"/>
      <c r="I27" s="307"/>
    </row>
    <row r="28" spans="1:9" ht="12.95" customHeight="1" x14ac:dyDescent="0.2">
      <c r="A28" s="309"/>
      <c r="B28" s="183" t="s">
        <v>325</v>
      </c>
      <c r="C28" s="305">
        <v>1200000</v>
      </c>
      <c r="D28" s="99">
        <v>1452108</v>
      </c>
      <c r="E28" s="99">
        <v>4104940</v>
      </c>
      <c r="F28" s="304"/>
      <c r="G28" s="305"/>
      <c r="H28" s="305"/>
      <c r="I28" s="306"/>
    </row>
    <row r="29" spans="1:9" ht="12.95" customHeight="1" x14ac:dyDescent="0.25">
      <c r="A29" s="309"/>
      <c r="B29" s="183" t="s">
        <v>326</v>
      </c>
      <c r="C29" s="305"/>
      <c r="D29" s="99"/>
      <c r="E29" s="99"/>
      <c r="F29" s="302" t="s">
        <v>304</v>
      </c>
      <c r="G29" s="300">
        <v>8477667</v>
      </c>
      <c r="H29" s="300">
        <f>SUM(H30:H32)</f>
        <v>8477667</v>
      </c>
      <c r="I29" s="303">
        <f>SUM(I30:I32)</f>
        <v>8400000</v>
      </c>
    </row>
    <row r="30" spans="1:9" ht="12.95" customHeight="1" x14ac:dyDescent="0.2">
      <c r="A30" s="309"/>
      <c r="B30" s="183" t="s">
        <v>327</v>
      </c>
      <c r="C30" s="305"/>
      <c r="D30" s="99"/>
      <c r="E30" s="99"/>
      <c r="F30" s="304" t="s">
        <v>305</v>
      </c>
      <c r="G30" s="305">
        <v>8477667</v>
      </c>
      <c r="H30" s="99">
        <v>8477667</v>
      </c>
      <c r="I30" s="307">
        <v>8400000</v>
      </c>
    </row>
    <row r="31" spans="1:9" ht="12.95" customHeight="1" x14ac:dyDescent="0.2">
      <c r="A31" s="309"/>
      <c r="B31" s="183" t="s">
        <v>328</v>
      </c>
      <c r="C31" s="305"/>
      <c r="D31" s="99"/>
      <c r="E31" s="99"/>
      <c r="F31" s="304" t="s">
        <v>306</v>
      </c>
      <c r="G31" s="305"/>
      <c r="H31" s="99"/>
      <c r="I31" s="307"/>
    </row>
    <row r="32" spans="1:9" ht="12.95" customHeight="1" x14ac:dyDescent="0.2">
      <c r="A32" s="309"/>
      <c r="B32" s="183" t="s">
        <v>329</v>
      </c>
      <c r="C32" s="305">
        <v>20000</v>
      </c>
      <c r="D32" s="99">
        <v>20000</v>
      </c>
      <c r="E32" s="99"/>
      <c r="F32" s="304" t="s">
        <v>431</v>
      </c>
      <c r="G32" s="305"/>
      <c r="H32" s="99"/>
      <c r="I32" s="307"/>
    </row>
    <row r="33" spans="1:9" ht="12.95" customHeight="1" x14ac:dyDescent="0.25">
      <c r="A33" s="309"/>
      <c r="B33" s="195"/>
      <c r="C33" s="305"/>
      <c r="D33" s="305"/>
      <c r="E33" s="305"/>
      <c r="F33" s="287"/>
      <c r="G33" s="330"/>
      <c r="H33" s="330"/>
      <c r="I33" s="336"/>
    </row>
    <row r="34" spans="1:9" ht="12.95" customHeight="1" x14ac:dyDescent="0.25">
      <c r="B34" s="313"/>
      <c r="C34" s="331"/>
      <c r="D34" s="331"/>
      <c r="E34" s="331"/>
      <c r="F34" s="302" t="s">
        <v>307</v>
      </c>
      <c r="G34" s="300">
        <v>143262154</v>
      </c>
      <c r="H34" s="300">
        <f>SUM(H35:H37)</f>
        <v>122992050</v>
      </c>
      <c r="I34" s="303">
        <f>SUM(I35:I37)</f>
        <v>54996302</v>
      </c>
    </row>
    <row r="35" spans="1:9" ht="15.95" customHeight="1" x14ac:dyDescent="0.25">
      <c r="B35" s="314" t="s">
        <v>330</v>
      </c>
      <c r="C35" s="300"/>
      <c r="D35" s="301"/>
      <c r="E35" s="301"/>
      <c r="F35" s="304" t="s">
        <v>308</v>
      </c>
      <c r="G35" s="305">
        <v>143262154</v>
      </c>
      <c r="H35" s="99">
        <v>95217252</v>
      </c>
      <c r="I35" s="307">
        <v>54163572</v>
      </c>
    </row>
    <row r="36" spans="1:9" ht="15.95" customHeight="1" x14ac:dyDescent="0.25">
      <c r="B36" s="314"/>
      <c r="C36" s="331"/>
      <c r="D36" s="331"/>
      <c r="E36" s="331"/>
      <c r="F36" s="304" t="s">
        <v>343</v>
      </c>
      <c r="G36" s="305"/>
      <c r="H36" s="99">
        <v>27774798</v>
      </c>
      <c r="I36" s="307"/>
    </row>
    <row r="37" spans="1:9" ht="15.95" customHeight="1" x14ac:dyDescent="0.25">
      <c r="B37" s="299" t="s">
        <v>331</v>
      </c>
      <c r="C37" s="300"/>
      <c r="D37" s="301"/>
      <c r="E37" s="301"/>
      <c r="F37" s="304" t="s">
        <v>353</v>
      </c>
      <c r="G37" s="305"/>
      <c r="H37" s="99"/>
      <c r="I37" s="307">
        <v>832730</v>
      </c>
    </row>
    <row r="38" spans="1:9" ht="12.95" customHeight="1" x14ac:dyDescent="0.25">
      <c r="B38" s="299"/>
      <c r="C38" s="331"/>
      <c r="D38" s="331"/>
      <c r="E38" s="331"/>
      <c r="F38" s="302"/>
      <c r="G38" s="330"/>
      <c r="H38" s="330"/>
      <c r="I38" s="336"/>
    </row>
    <row r="39" spans="1:9" ht="15.95" customHeight="1" x14ac:dyDescent="0.25">
      <c r="B39" s="299" t="s">
        <v>332</v>
      </c>
      <c r="C39" s="300">
        <v>102614363</v>
      </c>
      <c r="D39" s="300">
        <f>SUM(D40:D42)</f>
        <v>148660591</v>
      </c>
      <c r="E39" s="300">
        <f>SUM(E40:E42)</f>
        <v>134151716</v>
      </c>
      <c r="F39" s="302" t="s">
        <v>349</v>
      </c>
      <c r="G39" s="300">
        <v>49776437</v>
      </c>
      <c r="H39" s="300">
        <f>SUM(H40:H45)</f>
        <v>26867969.32</v>
      </c>
      <c r="I39" s="303">
        <f>SUM(I40:I45)</f>
        <v>50852597.799999997</v>
      </c>
    </row>
    <row r="40" spans="1:9" ht="12.95" customHeight="1" x14ac:dyDescent="0.2">
      <c r="B40" s="312" t="s">
        <v>308</v>
      </c>
      <c r="C40" s="305">
        <v>101461054</v>
      </c>
      <c r="D40" s="99">
        <f>147609967</f>
        <v>147609967</v>
      </c>
      <c r="E40" s="99">
        <f>133983056-765967</f>
        <v>133217089</v>
      </c>
      <c r="F40" s="311" t="s">
        <v>344</v>
      </c>
      <c r="G40" s="305"/>
      <c r="H40" s="99"/>
      <c r="I40" s="307"/>
    </row>
    <row r="41" spans="1:9" ht="12.95" customHeight="1" x14ac:dyDescent="0.2">
      <c r="B41" s="312" t="s">
        <v>333</v>
      </c>
      <c r="C41" s="305"/>
      <c r="D41" s="99"/>
      <c r="E41" s="99"/>
      <c r="F41" s="304" t="s">
        <v>309</v>
      </c>
      <c r="G41" s="305">
        <v>658806</v>
      </c>
      <c r="H41" s="99"/>
      <c r="I41" s="307">
        <v>21058073</v>
      </c>
    </row>
    <row r="42" spans="1:9" ht="12.95" customHeight="1" x14ac:dyDescent="0.2">
      <c r="B42" s="312" t="s">
        <v>351</v>
      </c>
      <c r="C42" s="305">
        <v>1153309</v>
      </c>
      <c r="D42" s="99">
        <v>1050624</v>
      </c>
      <c r="E42" s="99">
        <v>934627</v>
      </c>
      <c r="F42" s="304" t="s">
        <v>345</v>
      </c>
      <c r="G42" s="305">
        <v>49117631</v>
      </c>
      <c r="H42" s="99">
        <f>20523649.32+1775625+4568695</f>
        <v>26867969.32</v>
      </c>
      <c r="I42" s="307">
        <v>29794524.800000001</v>
      </c>
    </row>
    <row r="43" spans="1:9" ht="12.95" customHeight="1" x14ac:dyDescent="0.2">
      <c r="B43" s="312"/>
      <c r="C43" s="305"/>
      <c r="D43" s="305"/>
      <c r="E43" s="305"/>
      <c r="F43" s="304" t="s">
        <v>346</v>
      </c>
      <c r="G43" s="305"/>
      <c r="H43" s="99"/>
      <c r="I43" s="307"/>
    </row>
    <row r="44" spans="1:9" ht="12.95" customHeight="1" x14ac:dyDescent="0.25">
      <c r="B44" s="315" t="s">
        <v>334</v>
      </c>
      <c r="C44" s="300">
        <v>0</v>
      </c>
      <c r="D44" s="300">
        <f>SUM(D45:D46)</f>
        <v>0</v>
      </c>
      <c r="E44" s="300">
        <f>SUM(E45:E46)</f>
        <v>0</v>
      </c>
      <c r="F44" s="304" t="s">
        <v>354</v>
      </c>
      <c r="G44" s="305"/>
      <c r="H44" s="99"/>
      <c r="I44" s="307"/>
    </row>
    <row r="45" spans="1:9" ht="12.95" customHeight="1" x14ac:dyDescent="0.2">
      <c r="B45" s="313" t="s">
        <v>402</v>
      </c>
      <c r="C45" s="458"/>
      <c r="D45" s="459"/>
      <c r="E45" s="460"/>
      <c r="F45" s="304" t="s">
        <v>355</v>
      </c>
      <c r="G45" s="305"/>
      <c r="H45" s="99"/>
      <c r="I45" s="307"/>
    </row>
    <row r="46" spans="1:9" ht="12.95" customHeight="1" x14ac:dyDescent="0.2">
      <c r="B46" s="313" t="s">
        <v>403</v>
      </c>
      <c r="C46" s="458"/>
      <c r="D46" s="459"/>
      <c r="E46" s="460"/>
      <c r="F46" s="304"/>
      <c r="G46" s="305"/>
      <c r="H46" s="401"/>
      <c r="I46" s="402"/>
    </row>
    <row r="47" spans="1:9" ht="12.95" customHeight="1" thickBot="1" x14ac:dyDescent="0.3">
      <c r="B47" s="314"/>
      <c r="C47" s="332"/>
      <c r="D47" s="332"/>
      <c r="E47" s="333"/>
      <c r="F47" s="396"/>
      <c r="G47" s="337"/>
      <c r="H47" s="337"/>
      <c r="I47" s="338"/>
    </row>
    <row r="48" spans="1:9" ht="19.5" thickTop="1" thickBot="1" x14ac:dyDescent="0.3">
      <c r="B48" s="316" t="s">
        <v>310</v>
      </c>
      <c r="C48" s="317">
        <v>186613084</v>
      </c>
      <c r="D48" s="317">
        <f>D11+D35+D37+D39+D44</f>
        <v>161983959.88999999</v>
      </c>
      <c r="E48" s="317">
        <f>E11+E35+E37+E39+E44</f>
        <v>147447871</v>
      </c>
      <c r="F48" s="318" t="s">
        <v>311</v>
      </c>
      <c r="G48" s="317">
        <v>152098942.13</v>
      </c>
      <c r="H48" s="317">
        <f>H11+H25+H29+H34+H39</f>
        <v>186058136.58000004</v>
      </c>
      <c r="I48" s="319">
        <f>I11+I25+I29+I34+I39</f>
        <v>161108093.24000001</v>
      </c>
    </row>
    <row r="49" spans="2:9" ht="13.5" thickTop="1" x14ac:dyDescent="0.2">
      <c r="B49" s="320"/>
      <c r="C49" s="321"/>
      <c r="D49" s="321"/>
      <c r="E49" s="321"/>
      <c r="F49" s="322"/>
      <c r="G49" s="321"/>
      <c r="H49" s="321"/>
      <c r="I49" s="323"/>
    </row>
    <row r="50" spans="2:9" ht="17.25" thickBot="1" x14ac:dyDescent="0.3">
      <c r="B50" s="324" t="s">
        <v>347</v>
      </c>
      <c r="C50" s="325">
        <v>0</v>
      </c>
      <c r="D50" s="325">
        <f>IF(H48-D48&gt;0,H48-D48,0)</f>
        <v>24074176.690000057</v>
      </c>
      <c r="E50" s="325">
        <f>IF(I48-E48&gt;0,I48-E48,0)</f>
        <v>13660222.24000001</v>
      </c>
      <c r="F50" s="326" t="s">
        <v>348</v>
      </c>
      <c r="G50" s="325">
        <v>34514141.870000005</v>
      </c>
      <c r="H50" s="325">
        <f>IF(D48-H48&gt;0,D48-H48,0)</f>
        <v>0</v>
      </c>
      <c r="I50" s="327">
        <f>IF(E48-I48&gt;0,E48-I48,0)</f>
        <v>0</v>
      </c>
    </row>
    <row r="51" spans="2:9" x14ac:dyDescent="0.2">
      <c r="H51" s="328"/>
    </row>
  </sheetData>
  <sheetProtection password="CE88" sheet="1" objects="1" scenarios="1"/>
  <mergeCells count="2">
    <mergeCell ref="B8:B9"/>
    <mergeCell ref="F8:F9"/>
  </mergeCells>
  <phoneticPr fontId="0" type="noConversion"/>
  <conditionalFormatting sqref="D13:E16 D18:E22 D24:E25 D35:E35 D37:E37 D27:E33 D40:E42 D45:E46 H26:I27 H35:I37 H40:I45 H30:I32">
    <cfRule type="cellIs" dxfId="31" priority="1" stopIfTrue="1" operator="lessThan">
      <formula>0</formula>
    </cfRule>
  </conditionalFormatting>
  <printOptions horizontalCentered="1" verticalCentered="1"/>
  <pageMargins left="0.75" right="0.75" top="1" bottom="1" header="0" footer="0.39370078740157483"/>
  <pageSetup paperSize="9" scale="56"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103"/>
  <sheetViews>
    <sheetView showZeros="0" topLeftCell="D4" zoomScale="88" zoomScaleNormal="88" workbookViewId="0">
      <selection activeCell="G21" sqref="G21"/>
    </sheetView>
  </sheetViews>
  <sheetFormatPr baseColWidth="10" defaultRowHeight="14.25" x14ac:dyDescent="0.2"/>
  <cols>
    <col min="1" max="1" width="11.42578125" style="215"/>
    <col min="2" max="2" width="18.85546875" style="468" hidden="1" customWidth="1"/>
    <col min="3" max="3" width="18.7109375" style="182" hidden="1" customWidth="1"/>
    <col min="4" max="4" width="47.7109375" style="215" customWidth="1"/>
    <col min="5" max="8" width="20.7109375" style="215" customWidth="1"/>
    <col min="9" max="9" width="48.7109375" style="215" customWidth="1"/>
    <col min="10" max="12" width="20.7109375" style="215" customWidth="1"/>
    <col min="13" max="13" width="20.5703125" style="215" customWidth="1"/>
    <col min="14" max="14" width="20.7109375" style="200" hidden="1" customWidth="1"/>
    <col min="15" max="15" width="20.7109375" style="199" hidden="1" customWidth="1"/>
    <col min="16" max="16" width="20.7109375" style="199" customWidth="1"/>
    <col min="17" max="31" width="11.42578125" style="170"/>
    <col min="32" max="16384" width="11.42578125" style="215"/>
  </cols>
  <sheetData>
    <row r="1" spans="2:31" s="170" customFormat="1" ht="15" thickBot="1" x14ac:dyDescent="0.25">
      <c r="B1" s="182"/>
      <c r="C1" s="182"/>
      <c r="N1" s="200"/>
      <c r="O1" s="199"/>
      <c r="P1" s="199"/>
    </row>
    <row r="2" spans="2:31" s="170" customFormat="1" ht="18" customHeight="1" thickTop="1" thickBot="1" x14ac:dyDescent="0.25">
      <c r="B2" s="182"/>
      <c r="C2" s="182"/>
      <c r="D2" s="172" t="str">
        <f>PyG!B4</f>
        <v>PRESUPUESTO 2013</v>
      </c>
      <c r="H2" s="173" t="s">
        <v>3</v>
      </c>
      <c r="M2" s="174" t="s">
        <v>448</v>
      </c>
      <c r="N2" s="200"/>
      <c r="O2" s="199"/>
      <c r="P2" s="199"/>
    </row>
    <row r="3" spans="2:31" s="170" customFormat="1" ht="18" customHeight="1" thickTop="1" x14ac:dyDescent="0.2">
      <c r="B3" s="182"/>
      <c r="C3" s="182"/>
      <c r="D3" s="175" t="str">
        <f>PyG!B5</f>
        <v>CENTRO: 701</v>
      </c>
      <c r="N3" s="200"/>
      <c r="O3" s="199"/>
      <c r="P3" s="199"/>
    </row>
    <row r="4" spans="2:31" s="170" customFormat="1" ht="18" customHeight="1" x14ac:dyDescent="0.2">
      <c r="B4" s="182"/>
      <c r="C4" s="182"/>
      <c r="D4" s="175" t="str">
        <f>PyG!B6</f>
        <v>SECCION: 035</v>
      </c>
      <c r="N4" s="200"/>
      <c r="O4" s="199"/>
      <c r="P4" s="199"/>
    </row>
    <row r="5" spans="2:31" s="170" customFormat="1" ht="18" customHeight="1" x14ac:dyDescent="0.2">
      <c r="B5" s="182"/>
      <c r="C5" s="182"/>
      <c r="D5" s="175" t="str">
        <f>PyG!B7</f>
        <v>SOCIEDAD: EMPRESA MUNICIPAL DE LA VIVIENDA Y SUELO DE MADRID S.A.</v>
      </c>
      <c r="J5" s="171"/>
      <c r="K5" s="171"/>
      <c r="L5" s="171"/>
      <c r="N5" s="200"/>
      <c r="O5" s="199"/>
      <c r="P5" s="199"/>
      <c r="Q5" s="176"/>
      <c r="R5" s="176"/>
      <c r="S5" s="176"/>
      <c r="T5" s="176"/>
      <c r="U5" s="176"/>
      <c r="V5" s="176"/>
      <c r="W5" s="176"/>
      <c r="X5" s="176"/>
      <c r="Y5" s="176"/>
      <c r="Z5" s="176"/>
      <c r="AA5" s="176"/>
      <c r="AB5" s="176"/>
      <c r="AC5" s="176"/>
      <c r="AD5" s="176"/>
      <c r="AE5" s="176"/>
    </row>
    <row r="6" spans="2:31" ht="5.0999999999999996" customHeight="1" thickBot="1" x14ac:dyDescent="0.25">
      <c r="D6" s="217"/>
      <c r="E6" s="216"/>
      <c r="F6" s="216"/>
      <c r="G6" s="216"/>
      <c r="I6" s="218"/>
      <c r="J6" s="217"/>
      <c r="K6" s="217"/>
      <c r="L6" s="217"/>
      <c r="M6" s="216"/>
      <c r="Q6" s="176"/>
      <c r="R6" s="176"/>
      <c r="S6" s="176"/>
      <c r="T6" s="176"/>
      <c r="U6" s="176"/>
      <c r="V6" s="176"/>
      <c r="W6" s="176"/>
      <c r="X6" s="176"/>
      <c r="Y6" s="176"/>
      <c r="Z6" s="176"/>
      <c r="AA6" s="176"/>
      <c r="AB6" s="176"/>
      <c r="AC6" s="176"/>
      <c r="AD6" s="176"/>
    </row>
    <row r="7" spans="2:31" ht="15.75" x14ac:dyDescent="0.2">
      <c r="D7" s="509" t="s">
        <v>2</v>
      </c>
      <c r="E7" s="92" t="s">
        <v>35</v>
      </c>
      <c r="F7" s="92" t="s">
        <v>4</v>
      </c>
      <c r="G7" s="92" t="s">
        <v>5</v>
      </c>
      <c r="H7" s="177" t="s">
        <v>4</v>
      </c>
      <c r="I7" s="515" t="s">
        <v>65</v>
      </c>
      <c r="J7" s="92" t="s">
        <v>35</v>
      </c>
      <c r="K7" s="92" t="s">
        <v>4</v>
      </c>
      <c r="L7" s="92" t="s">
        <v>5</v>
      </c>
      <c r="M7" s="177" t="s">
        <v>4</v>
      </c>
    </row>
    <row r="8" spans="2:31" ht="16.5" thickBot="1" x14ac:dyDescent="0.25">
      <c r="D8" s="510"/>
      <c r="E8" s="96">
        <v>40908</v>
      </c>
      <c r="F8" s="96">
        <v>41274</v>
      </c>
      <c r="G8" s="96">
        <v>41274</v>
      </c>
      <c r="H8" s="96">
        <v>41639</v>
      </c>
      <c r="I8" s="510"/>
      <c r="J8" s="96">
        <f>E8</f>
        <v>40908</v>
      </c>
      <c r="K8" s="96">
        <f>F8</f>
        <v>41274</v>
      </c>
      <c r="L8" s="96">
        <f>G8</f>
        <v>41274</v>
      </c>
      <c r="M8" s="464">
        <f>H8</f>
        <v>41639</v>
      </c>
      <c r="N8" s="427" t="s">
        <v>440</v>
      </c>
      <c r="O8" s="428" t="s">
        <v>449</v>
      </c>
    </row>
    <row r="9" spans="2:31" ht="14.1" customHeight="1" thickTop="1" x14ac:dyDescent="0.2">
      <c r="D9" s="214"/>
      <c r="E9" s="219"/>
      <c r="F9" s="219"/>
      <c r="G9" s="219"/>
      <c r="H9" s="220"/>
      <c r="I9" s="170"/>
      <c r="J9" s="219"/>
      <c r="K9" s="219"/>
      <c r="L9" s="219"/>
      <c r="M9" s="220"/>
      <c r="N9" s="371"/>
      <c r="O9" s="371"/>
    </row>
    <row r="10" spans="2:31" ht="14.1" customHeight="1" x14ac:dyDescent="0.2">
      <c r="B10" s="422" t="s">
        <v>440</v>
      </c>
      <c r="C10" s="423" t="s">
        <v>449</v>
      </c>
      <c r="D10" s="194" t="s">
        <v>66</v>
      </c>
      <c r="E10" s="184">
        <v>364441663.51999998</v>
      </c>
      <c r="F10" s="184">
        <v>333363418.22000003</v>
      </c>
      <c r="G10" s="184">
        <f>G11+G17+G21+G24+G31</f>
        <v>356216799.46999997</v>
      </c>
      <c r="H10" s="185">
        <f>H11+H17+H21+H24+H31</f>
        <v>339162129.51999998</v>
      </c>
      <c r="I10" s="191" t="s">
        <v>96</v>
      </c>
      <c r="J10" s="184">
        <v>143951116.11000004</v>
      </c>
      <c r="K10" s="184">
        <v>132281461.03000002</v>
      </c>
      <c r="L10" s="184">
        <f>L11+L26+L31</f>
        <v>131838156.31</v>
      </c>
      <c r="M10" s="185">
        <f>M11+M26+M31</f>
        <v>134241734.40000001</v>
      </c>
      <c r="N10" s="389" t="str">
        <f>IF(L10&lt;(L12*0.5),"OJO CAUSA DISOLUCION"," ")</f>
        <v xml:space="preserve"> </v>
      </c>
      <c r="O10" s="390" t="str">
        <f>IF(M10&lt;(M12*0.5),"OJO CAUSA DISOLUCION"," ")</f>
        <v xml:space="preserve"> </v>
      </c>
    </row>
    <row r="11" spans="2:31" ht="14.1" customHeight="1" x14ac:dyDescent="0.2">
      <c r="B11" s="469">
        <f>E11+PAIF!D12-PAIF!H40+PyG!E45</f>
        <v>108814.32999999996</v>
      </c>
      <c r="C11" s="470">
        <f>G11+PAIF!E12-PAIF!I40+PyG!F45</f>
        <v>718738.99</v>
      </c>
      <c r="D11" s="169" t="s">
        <v>67</v>
      </c>
      <c r="E11" s="178">
        <v>437855.11</v>
      </c>
      <c r="F11" s="178">
        <v>858814.33</v>
      </c>
      <c r="G11" s="178">
        <f>SUM(G12:G16)</f>
        <v>108814</v>
      </c>
      <c r="H11" s="179">
        <f>SUM(H12:H16)</f>
        <v>718739.32</v>
      </c>
      <c r="I11" s="197" t="s">
        <v>97</v>
      </c>
      <c r="J11" s="178">
        <v>7672364.7700000256</v>
      </c>
      <c r="K11" s="178">
        <v>407704.61000001431</v>
      </c>
      <c r="L11" s="178">
        <f>L12+L15+L16+L19+L22+L23+L24</f>
        <v>-3919765.3000000063</v>
      </c>
      <c r="M11" s="179">
        <f>M12+M15+M16+M19+M22+M23+M24</f>
        <v>-3919765.6699999943</v>
      </c>
      <c r="N11" s="371"/>
      <c r="O11" s="420"/>
    </row>
    <row r="12" spans="2:31" ht="14.1" customHeight="1" x14ac:dyDescent="0.2">
      <c r="D12" s="183" t="s">
        <v>253</v>
      </c>
      <c r="E12" s="178"/>
      <c r="F12" s="178"/>
      <c r="G12" s="101"/>
      <c r="H12" s="102"/>
      <c r="I12" s="203" t="s">
        <v>98</v>
      </c>
      <c r="J12" s="178">
        <v>97311215.5</v>
      </c>
      <c r="K12" s="178">
        <v>97311215.5</v>
      </c>
      <c r="L12" s="178">
        <f>SUM(L13:L14)</f>
        <v>97311216</v>
      </c>
      <c r="M12" s="179">
        <f>SUM(M13:M14)</f>
        <v>97311215.5</v>
      </c>
      <c r="N12" s="371"/>
      <c r="O12" s="420"/>
    </row>
    <row r="13" spans="2:31" ht="14.1" customHeight="1" x14ac:dyDescent="0.2">
      <c r="D13" s="183" t="s">
        <v>68</v>
      </c>
      <c r="E13" s="178"/>
      <c r="F13" s="178"/>
      <c r="G13" s="101"/>
      <c r="H13" s="102"/>
      <c r="I13" s="186" t="s">
        <v>99</v>
      </c>
      <c r="J13" s="178">
        <v>97311215.5</v>
      </c>
      <c r="K13" s="178">
        <v>97311215.5</v>
      </c>
      <c r="L13" s="101">
        <v>97311216</v>
      </c>
      <c r="M13" s="102">
        <v>97311215.5</v>
      </c>
      <c r="N13" s="371"/>
      <c r="O13" s="420"/>
    </row>
    <row r="14" spans="2:31" ht="14.1" customHeight="1" x14ac:dyDescent="0.2">
      <c r="D14" s="183" t="s">
        <v>69</v>
      </c>
      <c r="E14" s="178"/>
      <c r="F14" s="178"/>
      <c r="G14" s="101"/>
      <c r="H14" s="102"/>
      <c r="I14" s="187" t="s">
        <v>100</v>
      </c>
      <c r="J14" s="178"/>
      <c r="K14" s="178"/>
      <c r="L14" s="101"/>
      <c r="M14" s="102"/>
      <c r="N14" s="371"/>
      <c r="O14" s="420"/>
    </row>
    <row r="15" spans="2:31" ht="14.1" customHeight="1" x14ac:dyDescent="0.2">
      <c r="D15" s="188" t="s">
        <v>70</v>
      </c>
      <c r="E15" s="178">
        <v>437855.11</v>
      </c>
      <c r="F15" s="178">
        <v>858814.33</v>
      </c>
      <c r="G15" s="101">
        <v>108814</v>
      </c>
      <c r="H15" s="102">
        <v>718739.32</v>
      </c>
      <c r="I15" s="203" t="s">
        <v>101</v>
      </c>
      <c r="J15" s="178"/>
      <c r="K15" s="178"/>
      <c r="L15" s="101"/>
      <c r="M15" s="102"/>
      <c r="N15" s="371"/>
      <c r="O15" s="420"/>
    </row>
    <row r="16" spans="2:31" ht="14.1" customHeight="1" x14ac:dyDescent="0.2">
      <c r="D16" s="183" t="s">
        <v>71</v>
      </c>
      <c r="E16" s="178"/>
      <c r="F16" s="178"/>
      <c r="G16" s="101"/>
      <c r="H16" s="102"/>
      <c r="I16" s="203" t="s">
        <v>102</v>
      </c>
      <c r="J16" s="178">
        <v>1097209.0900000001</v>
      </c>
      <c r="K16" s="178">
        <v>1097209.0900000001</v>
      </c>
      <c r="L16" s="178">
        <f>SUM(L17:L18)</f>
        <v>1097209</v>
      </c>
      <c r="M16" s="179">
        <f>SUM(M17:M18)</f>
        <v>1097209.0900000001</v>
      </c>
      <c r="N16" s="371"/>
      <c r="O16" s="420"/>
    </row>
    <row r="17" spans="2:31" ht="14.1" customHeight="1" x14ac:dyDescent="0.2">
      <c r="B17" s="469">
        <f>E17+PAIF!D17-PAIF!H41+PyG!E46</f>
        <v>47853600.530000001</v>
      </c>
      <c r="C17" s="470">
        <f>G17+PAIF!E17-PAIF!I41+PyG!F46</f>
        <v>26487201.950000003</v>
      </c>
      <c r="D17" s="169" t="s">
        <v>72</v>
      </c>
      <c r="E17" s="178">
        <v>42641733.200000003</v>
      </c>
      <c r="F17" s="178">
        <v>96555142.74000001</v>
      </c>
      <c r="G17" s="178">
        <f>SUM(G18:G20)</f>
        <v>47853600.840000004</v>
      </c>
      <c r="H17" s="179">
        <f>SUM(H18:H20)</f>
        <v>25994264.940000001</v>
      </c>
      <c r="I17" s="186" t="s">
        <v>103</v>
      </c>
      <c r="J17" s="178">
        <v>1096690.06</v>
      </c>
      <c r="K17" s="178">
        <v>1097209.0900000001</v>
      </c>
      <c r="L17" s="101">
        <v>1097209</v>
      </c>
      <c r="M17" s="102">
        <v>1097209.0900000001</v>
      </c>
      <c r="N17" s="389" t="str">
        <f>IF(L17&gt;=0.2*L12," ","VER RESERVA LEGAL")</f>
        <v>VER RESERVA LEGAL</v>
      </c>
      <c r="O17" s="390" t="str">
        <f>IF(M17&gt;=0.2*M12," ","VER RESERVA LEGAL")</f>
        <v>VER RESERVA LEGAL</v>
      </c>
    </row>
    <row r="18" spans="2:31" ht="14.1" customHeight="1" x14ac:dyDescent="0.2">
      <c r="D18" s="183" t="s">
        <v>73</v>
      </c>
      <c r="E18" s="178">
        <v>15457358.720000001</v>
      </c>
      <c r="F18" s="178">
        <v>15032752.51</v>
      </c>
      <c r="G18" s="101">
        <v>15457359</v>
      </c>
      <c r="H18" s="102">
        <v>15032752.5</v>
      </c>
      <c r="I18" s="189" t="s">
        <v>104</v>
      </c>
      <c r="J18" s="178">
        <v>519.03</v>
      </c>
      <c r="K18" s="178"/>
      <c r="L18" s="101"/>
      <c r="M18" s="102"/>
      <c r="N18" s="371"/>
      <c r="O18" s="420"/>
    </row>
    <row r="19" spans="2:31" ht="14.1" customHeight="1" x14ac:dyDescent="0.2">
      <c r="D19" s="183" t="s">
        <v>74</v>
      </c>
      <c r="E19" s="178">
        <v>8965291.4100000001</v>
      </c>
      <c r="F19" s="178">
        <v>8053549.2800000003</v>
      </c>
      <c r="G19" s="101">
        <v>9081071.9499999993</v>
      </c>
      <c r="H19" s="102">
        <v>7357214.4400000004</v>
      </c>
      <c r="I19" s="203" t="s">
        <v>105</v>
      </c>
      <c r="J19" s="178">
        <v>-64467799.899999999</v>
      </c>
      <c r="K19" s="178">
        <v>-98000720</v>
      </c>
      <c r="L19" s="178">
        <f>SUM(L20:L21)</f>
        <v>-90736060</v>
      </c>
      <c r="M19" s="179">
        <f>SUM(M20:M21)</f>
        <v>-102328189.81999999</v>
      </c>
      <c r="N19" s="371"/>
      <c r="O19" s="420"/>
    </row>
    <row r="20" spans="2:31" ht="14.1" customHeight="1" x14ac:dyDescent="0.2">
      <c r="D20" s="183" t="s">
        <v>75</v>
      </c>
      <c r="E20" s="178">
        <v>18219083.07</v>
      </c>
      <c r="F20" s="178">
        <v>73468840.950000003</v>
      </c>
      <c r="G20" s="101">
        <v>23315169.890000001</v>
      </c>
      <c r="H20" s="102">
        <v>3604298</v>
      </c>
      <c r="I20" s="189" t="s">
        <v>106</v>
      </c>
      <c r="J20" s="178"/>
      <c r="K20" s="178"/>
      <c r="L20" s="101"/>
      <c r="M20" s="102"/>
      <c r="N20" s="371"/>
      <c r="O20" s="420"/>
    </row>
    <row r="21" spans="2:31" ht="14.1" customHeight="1" x14ac:dyDescent="0.2">
      <c r="B21" s="469">
        <f>E21+PAIF!D23-PAIF!H42+PyG!E47</f>
        <v>277223262.22999996</v>
      </c>
      <c r="C21" s="470">
        <f>G21+PAIF!E23-PAIF!I42+PyG!F47</f>
        <v>261795695.62999997</v>
      </c>
      <c r="D21" s="190" t="s">
        <v>76</v>
      </c>
      <c r="E21" s="178">
        <v>306044126.31999999</v>
      </c>
      <c r="F21" s="178">
        <v>213133057.41999999</v>
      </c>
      <c r="G21" s="178">
        <f>SUM(G22:G23)</f>
        <v>291500420.65999997</v>
      </c>
      <c r="H21" s="179">
        <f>SUM(H22:H23)</f>
        <v>291590220.76999998</v>
      </c>
      <c r="I21" s="187" t="s">
        <v>107</v>
      </c>
      <c r="J21" s="178">
        <v>-64467799.899999999</v>
      </c>
      <c r="K21" s="178">
        <v>-98000720</v>
      </c>
      <c r="L21" s="101">
        <v>-90736060</v>
      </c>
      <c r="M21" s="102">
        <v>-102328189.81999999</v>
      </c>
      <c r="N21" s="371"/>
      <c r="O21" s="420"/>
    </row>
    <row r="22" spans="2:31" ht="14.1" customHeight="1" x14ac:dyDescent="0.2">
      <c r="D22" s="183" t="s">
        <v>77</v>
      </c>
      <c r="E22" s="178">
        <v>53486300.960000001</v>
      </c>
      <c r="F22" s="178">
        <v>45919686.780000001</v>
      </c>
      <c r="G22" s="101">
        <v>51710676.18</v>
      </c>
      <c r="H22" s="102">
        <v>62796858.289999999</v>
      </c>
      <c r="I22" s="204" t="s">
        <v>108</v>
      </c>
      <c r="J22" s="178"/>
      <c r="K22" s="178"/>
      <c r="L22" s="101"/>
      <c r="M22" s="102"/>
      <c r="N22" s="371"/>
      <c r="O22" s="420"/>
    </row>
    <row r="23" spans="2:31" ht="14.1" customHeight="1" x14ac:dyDescent="0.2">
      <c r="D23" s="183" t="s">
        <v>78</v>
      </c>
      <c r="E23" s="178">
        <v>252557825.36000001</v>
      </c>
      <c r="F23" s="178">
        <v>167213370.63999999</v>
      </c>
      <c r="G23" s="101">
        <v>239789744.47999999</v>
      </c>
      <c r="H23" s="102">
        <v>228793362.47999999</v>
      </c>
      <c r="I23" s="203" t="s">
        <v>109</v>
      </c>
      <c r="J23" s="178">
        <v>-26268259.919999979</v>
      </c>
      <c r="K23" s="178">
        <v>2.000001072883606E-2</v>
      </c>
      <c r="L23" s="178">
        <f>PyG!E84</f>
        <v>-11592130.300000006</v>
      </c>
      <c r="M23" s="179">
        <f>PyG!F84</f>
        <v>-0.44000000506639481</v>
      </c>
      <c r="N23" s="371"/>
      <c r="O23" s="420"/>
    </row>
    <row r="24" spans="2:31" ht="14.1" customHeight="1" x14ac:dyDescent="0.2">
      <c r="D24" s="169" t="s">
        <v>79</v>
      </c>
      <c r="E24" s="178">
        <v>15317606.51</v>
      </c>
      <c r="F24" s="178">
        <v>22816403.73</v>
      </c>
      <c r="G24" s="178">
        <f>SUM(G25:G30)</f>
        <v>16753621.59</v>
      </c>
      <c r="H24" s="179">
        <f>SUM(H25:H30)</f>
        <v>20858562.109999999</v>
      </c>
      <c r="I24" s="203" t="s">
        <v>110</v>
      </c>
      <c r="J24" s="178"/>
      <c r="K24" s="178"/>
      <c r="L24" s="101"/>
      <c r="M24" s="102"/>
      <c r="N24" s="371"/>
      <c r="O24" s="420"/>
      <c r="Q24" s="192"/>
      <c r="R24" s="192"/>
      <c r="S24" s="192"/>
      <c r="T24" s="192"/>
      <c r="U24" s="192"/>
      <c r="V24" s="192"/>
      <c r="W24" s="192"/>
      <c r="X24" s="192"/>
      <c r="Y24" s="192"/>
      <c r="Z24" s="192"/>
      <c r="AA24" s="192"/>
      <c r="AB24" s="192"/>
      <c r="AC24" s="192"/>
      <c r="AD24" s="192"/>
      <c r="AE24" s="192"/>
    </row>
    <row r="25" spans="2:31" ht="14.1" customHeight="1" x14ac:dyDescent="0.2">
      <c r="D25" s="183" t="s">
        <v>242</v>
      </c>
      <c r="E25" s="178"/>
      <c r="F25" s="178"/>
      <c r="G25" s="101"/>
      <c r="H25" s="102"/>
      <c r="I25" s="170"/>
      <c r="J25" s="178"/>
      <c r="K25" s="178"/>
      <c r="L25" s="178"/>
      <c r="M25" s="179"/>
      <c r="N25" s="371"/>
      <c r="O25" s="420"/>
    </row>
    <row r="26" spans="2:31" ht="14.1" customHeight="1" x14ac:dyDescent="0.2">
      <c r="D26" s="183" t="s">
        <v>243</v>
      </c>
      <c r="E26" s="178">
        <v>14841377.42</v>
      </c>
      <c r="F26" s="178">
        <v>22437067.140000001</v>
      </c>
      <c r="G26" s="101">
        <v>16293485</v>
      </c>
      <c r="H26" s="102">
        <v>20398425.109999999</v>
      </c>
      <c r="I26" s="197" t="s">
        <v>111</v>
      </c>
      <c r="J26" s="178">
        <v>-113783.53</v>
      </c>
      <c r="K26" s="178">
        <v>0</v>
      </c>
      <c r="L26" s="178">
        <f>SUM(L27:L29)</f>
        <v>11710</v>
      </c>
      <c r="M26" s="179">
        <f>SUM(M27:M29)</f>
        <v>11710</v>
      </c>
      <c r="N26" s="371"/>
      <c r="O26" s="420"/>
    </row>
    <row r="27" spans="2:31" ht="14.1" customHeight="1" x14ac:dyDescent="0.2">
      <c r="D27" s="183" t="s">
        <v>244</v>
      </c>
      <c r="E27" s="178"/>
      <c r="F27" s="178"/>
      <c r="G27" s="101"/>
      <c r="H27" s="102"/>
      <c r="I27" s="204" t="s">
        <v>247</v>
      </c>
      <c r="J27" s="178"/>
      <c r="K27" s="178"/>
      <c r="L27" s="101"/>
      <c r="M27" s="102"/>
      <c r="N27" s="371"/>
      <c r="O27" s="420"/>
    </row>
    <row r="28" spans="2:31" ht="14.1" customHeight="1" x14ac:dyDescent="0.2">
      <c r="D28" s="183" t="s">
        <v>245</v>
      </c>
      <c r="E28" s="178">
        <v>136892.5</v>
      </c>
      <c r="F28" s="178"/>
      <c r="G28" s="101">
        <v>100800</v>
      </c>
      <c r="H28" s="102">
        <v>100800</v>
      </c>
      <c r="I28" s="204" t="s">
        <v>134</v>
      </c>
      <c r="J28" s="178">
        <v>-113783.53</v>
      </c>
      <c r="K28" s="178"/>
      <c r="L28" s="101">
        <v>11710</v>
      </c>
      <c r="M28" s="102">
        <v>11710</v>
      </c>
      <c r="N28" s="371"/>
      <c r="O28" s="420"/>
    </row>
    <row r="29" spans="2:31" ht="14.1" customHeight="1" x14ac:dyDescent="0.2">
      <c r="D29" s="183" t="s">
        <v>286</v>
      </c>
      <c r="E29" s="178"/>
      <c r="F29" s="178"/>
      <c r="G29" s="101"/>
      <c r="H29" s="102"/>
      <c r="I29" s="203" t="s">
        <v>135</v>
      </c>
      <c r="J29" s="178"/>
      <c r="K29" s="178"/>
      <c r="L29" s="101"/>
      <c r="M29" s="102"/>
      <c r="N29" s="371"/>
      <c r="O29" s="420"/>
    </row>
    <row r="30" spans="2:31" ht="14.1" customHeight="1" x14ac:dyDescent="0.2">
      <c r="D30" s="183" t="s">
        <v>285</v>
      </c>
      <c r="E30" s="178">
        <v>339336.59</v>
      </c>
      <c r="F30" s="178">
        <v>379336.59</v>
      </c>
      <c r="G30" s="101">
        <v>359336.59</v>
      </c>
      <c r="H30" s="102">
        <v>359337</v>
      </c>
      <c r="I30" s="170"/>
      <c r="J30" s="178"/>
      <c r="K30" s="178"/>
      <c r="L30" s="178"/>
      <c r="M30" s="179"/>
      <c r="N30" s="371"/>
      <c r="O30" s="420"/>
    </row>
    <row r="31" spans="2:31" ht="14.1" customHeight="1" x14ac:dyDescent="0.2">
      <c r="D31" s="169" t="s">
        <v>80</v>
      </c>
      <c r="E31" s="178">
        <v>342.38</v>
      </c>
      <c r="F31" s="178"/>
      <c r="G31" s="101">
        <v>342.38</v>
      </c>
      <c r="H31" s="102">
        <v>342.38</v>
      </c>
      <c r="I31" s="197" t="s">
        <v>112</v>
      </c>
      <c r="J31" s="178">
        <v>136392534.87</v>
      </c>
      <c r="K31" s="178">
        <v>131873756.42</v>
      </c>
      <c r="L31" s="178">
        <f>SUM(L32:L34)</f>
        <v>135746211.61000001</v>
      </c>
      <c r="M31" s="179">
        <f>SUM(M32:M34)</f>
        <v>138149790.06999999</v>
      </c>
      <c r="N31" s="372">
        <f>(J31+J48)+PAIF!H29-PyG!E48-L48</f>
        <v>135746211.87</v>
      </c>
      <c r="O31" s="373">
        <f>(L31+L48)+PAIF!I29-PyG!F48-M48</f>
        <v>138149790.54000002</v>
      </c>
    </row>
    <row r="32" spans="2:31" ht="14.1" customHeight="1" x14ac:dyDescent="0.2">
      <c r="D32" s="193"/>
      <c r="E32" s="178"/>
      <c r="F32" s="178"/>
      <c r="G32" s="178"/>
      <c r="H32" s="179"/>
      <c r="I32" s="204" t="s">
        <v>278</v>
      </c>
      <c r="J32" s="178">
        <v>136392534.87</v>
      </c>
      <c r="K32" s="178">
        <v>131873756.42</v>
      </c>
      <c r="L32" s="101">
        <f>135746211.61-2090980</f>
        <v>133655231.61000001</v>
      </c>
      <c r="M32" s="102">
        <f>138149790.07-2060980</f>
        <v>136088810.06999999</v>
      </c>
      <c r="N32" s="371"/>
      <c r="O32" s="371"/>
    </row>
    <row r="33" spans="4:15" ht="14.1" customHeight="1" x14ac:dyDescent="0.2">
      <c r="D33" s="194" t="s">
        <v>81</v>
      </c>
      <c r="E33" s="184">
        <v>734325579.77999997</v>
      </c>
      <c r="F33" s="184">
        <v>738846324.51999998</v>
      </c>
      <c r="G33" s="184">
        <f>G34+G35+G42+G50+G57+G58</f>
        <v>682365997.42999995</v>
      </c>
      <c r="H33" s="185">
        <f>H34+H35+H42+H50+H57+H58</f>
        <v>610513971.90999997</v>
      </c>
      <c r="I33" s="204" t="s">
        <v>279</v>
      </c>
      <c r="J33" s="178"/>
      <c r="K33" s="178"/>
      <c r="L33" s="101">
        <v>2090980</v>
      </c>
      <c r="M33" s="102">
        <v>2060980</v>
      </c>
      <c r="N33" s="371"/>
      <c r="O33" s="371"/>
    </row>
    <row r="34" spans="4:15" ht="14.1" customHeight="1" x14ac:dyDescent="0.2">
      <c r="D34" s="169" t="s">
        <v>82</v>
      </c>
      <c r="E34" s="178"/>
      <c r="F34" s="178"/>
      <c r="G34" s="101"/>
      <c r="H34" s="102"/>
      <c r="I34" s="203" t="s">
        <v>280</v>
      </c>
      <c r="J34" s="178"/>
      <c r="K34" s="178"/>
      <c r="L34" s="101"/>
      <c r="M34" s="102"/>
      <c r="N34" s="371"/>
      <c r="O34" s="420"/>
    </row>
    <row r="35" spans="4:15" ht="14.1" customHeight="1" x14ac:dyDescent="0.2">
      <c r="D35" s="201" t="s">
        <v>83</v>
      </c>
      <c r="E35" s="178">
        <v>636881495.10000002</v>
      </c>
      <c r="F35" s="178">
        <v>635568481.2299999</v>
      </c>
      <c r="G35" s="178">
        <f>SUM(G36:G41)</f>
        <v>596196551.42999995</v>
      </c>
      <c r="H35" s="179">
        <f>SUM(H36:H41)</f>
        <v>549104568.58999991</v>
      </c>
      <c r="J35" s="455"/>
      <c r="K35" s="455"/>
      <c r="L35" s="278"/>
      <c r="M35" s="279"/>
      <c r="N35" s="371"/>
      <c r="O35" s="420"/>
    </row>
    <row r="36" spans="4:15" ht="14.1" customHeight="1" x14ac:dyDescent="0.2">
      <c r="D36" s="183" t="s">
        <v>148</v>
      </c>
      <c r="E36" s="178"/>
      <c r="F36" s="178"/>
      <c r="G36" s="101"/>
      <c r="H36" s="102"/>
      <c r="I36" s="191" t="s">
        <v>113</v>
      </c>
      <c r="J36" s="184">
        <v>540451587.81000006</v>
      </c>
      <c r="K36" s="184">
        <v>681435585.78999996</v>
      </c>
      <c r="L36" s="184">
        <f>L37+L42+L47+L48+L49</f>
        <v>601405336.8599999</v>
      </c>
      <c r="M36" s="185">
        <f>M37+M42+M47+M48+M49</f>
        <v>536660637.28999996</v>
      </c>
      <c r="N36" s="371"/>
      <c r="O36" s="420"/>
    </row>
    <row r="37" spans="4:15" ht="14.1" customHeight="1" x14ac:dyDescent="0.2">
      <c r="D37" s="183" t="s">
        <v>149</v>
      </c>
      <c r="E37" s="178">
        <v>393908928.56</v>
      </c>
      <c r="F37" s="178">
        <v>430275161.45999998</v>
      </c>
      <c r="G37" s="101">
        <v>375289601.38</v>
      </c>
      <c r="H37" s="102">
        <v>357577911.69999999</v>
      </c>
      <c r="I37" s="203" t="s">
        <v>114</v>
      </c>
      <c r="J37" s="178">
        <v>11549149.700000001</v>
      </c>
      <c r="K37" s="178">
        <v>12275329.33</v>
      </c>
      <c r="L37" s="178">
        <f>SUM(L38:L41)</f>
        <v>12549389</v>
      </c>
      <c r="M37" s="179">
        <f>SUM(M38:M41)</f>
        <v>13549389</v>
      </c>
      <c r="N37" s="371"/>
      <c r="O37" s="420"/>
    </row>
    <row r="38" spans="4:15" ht="14.1" customHeight="1" x14ac:dyDescent="0.2">
      <c r="D38" s="183" t="s">
        <v>150</v>
      </c>
      <c r="E38" s="178">
        <v>132201612.48999999</v>
      </c>
      <c r="F38" s="178">
        <v>132350773.22</v>
      </c>
      <c r="G38" s="101">
        <v>114194390</v>
      </c>
      <c r="H38" s="102">
        <v>93872490.840000004</v>
      </c>
      <c r="I38" s="186" t="s">
        <v>115</v>
      </c>
      <c r="J38" s="178">
        <v>19760.400000000001</v>
      </c>
      <c r="K38" s="178">
        <v>59760.4</v>
      </c>
      <c r="L38" s="101">
        <v>20000</v>
      </c>
      <c r="M38" s="102">
        <v>20000</v>
      </c>
      <c r="N38" s="371"/>
      <c r="O38" s="420"/>
    </row>
    <row r="39" spans="4:15" ht="14.1" customHeight="1" x14ac:dyDescent="0.2">
      <c r="D39" s="183" t="s">
        <v>151</v>
      </c>
      <c r="E39" s="178">
        <v>110770954.05</v>
      </c>
      <c r="F39" s="178">
        <v>72942546.549999997</v>
      </c>
      <c r="G39" s="101">
        <v>106712560.05</v>
      </c>
      <c r="H39" s="102">
        <v>97654166.049999997</v>
      </c>
      <c r="I39" s="186" t="s">
        <v>116</v>
      </c>
      <c r="J39" s="178"/>
      <c r="K39" s="178"/>
      <c r="L39" s="101"/>
      <c r="M39" s="102"/>
      <c r="N39" s="371"/>
      <c r="O39" s="420"/>
    </row>
    <row r="40" spans="4:15" ht="14.1" customHeight="1" x14ac:dyDescent="0.2">
      <c r="D40" s="183" t="s">
        <v>152</v>
      </c>
      <c r="E40" s="178"/>
      <c r="F40" s="178"/>
      <c r="G40" s="101"/>
      <c r="H40" s="102"/>
      <c r="I40" s="205" t="s">
        <v>117</v>
      </c>
      <c r="J40" s="178"/>
      <c r="K40" s="178"/>
      <c r="L40" s="101"/>
      <c r="M40" s="102"/>
      <c r="N40" s="371"/>
      <c r="O40" s="420"/>
    </row>
    <row r="41" spans="4:15" ht="14.1" customHeight="1" x14ac:dyDescent="0.2">
      <c r="D41" s="183" t="s">
        <v>291</v>
      </c>
      <c r="E41" s="178"/>
      <c r="F41" s="178"/>
      <c r="G41" s="101"/>
      <c r="H41" s="102"/>
      <c r="I41" s="186" t="s">
        <v>118</v>
      </c>
      <c r="J41" s="178">
        <v>11529389.300000001</v>
      </c>
      <c r="K41" s="178">
        <v>12215568.93</v>
      </c>
      <c r="L41" s="101">
        <v>12529389</v>
      </c>
      <c r="M41" s="102">
        <v>13529389</v>
      </c>
      <c r="N41" s="371"/>
      <c r="O41" s="420"/>
    </row>
    <row r="42" spans="4:15" ht="14.1" customHeight="1" x14ac:dyDescent="0.2">
      <c r="D42" s="201" t="s">
        <v>84</v>
      </c>
      <c r="E42" s="178">
        <v>38803834.020000003</v>
      </c>
      <c r="F42" s="178">
        <v>67818439.969999999</v>
      </c>
      <c r="G42" s="178">
        <f>SUM(G43:G49)</f>
        <v>36160613</v>
      </c>
      <c r="H42" s="179">
        <f>SUM(H43:H49)</f>
        <v>20950000</v>
      </c>
      <c r="I42" s="206" t="s">
        <v>119</v>
      </c>
      <c r="J42" s="178">
        <v>528902438.11000007</v>
      </c>
      <c r="K42" s="178">
        <v>669160256.45999992</v>
      </c>
      <c r="L42" s="178">
        <f>SUM(L43:L46)</f>
        <v>561081149.55999994</v>
      </c>
      <c r="M42" s="179">
        <f>SUM(M43:M46)</f>
        <v>495336449.98999995</v>
      </c>
      <c r="N42" s="371"/>
      <c r="O42" s="420"/>
    </row>
    <row r="43" spans="4:15" ht="14.1" customHeight="1" x14ac:dyDescent="0.2">
      <c r="D43" s="196" t="s">
        <v>85</v>
      </c>
      <c r="E43" s="178">
        <v>20336667.530000001</v>
      </c>
      <c r="F43" s="178">
        <v>37060518</v>
      </c>
      <c r="G43" s="101">
        <v>30660518</v>
      </c>
      <c r="H43" s="102">
        <v>17800000</v>
      </c>
      <c r="I43" s="207" t="s">
        <v>120</v>
      </c>
      <c r="J43" s="178">
        <v>526442789.41000003</v>
      </c>
      <c r="K43" s="178">
        <v>666961789.89999998</v>
      </c>
      <c r="L43" s="101">
        <v>559620253.55999994</v>
      </c>
      <c r="M43" s="102">
        <v>494708284.39999998</v>
      </c>
      <c r="N43" s="371"/>
      <c r="O43" s="420"/>
    </row>
    <row r="44" spans="4:15" ht="14.1" customHeight="1" x14ac:dyDescent="0.2">
      <c r="D44" s="196" t="s">
        <v>282</v>
      </c>
      <c r="E44" s="178">
        <v>777827.09</v>
      </c>
      <c r="F44" s="178">
        <v>26000000</v>
      </c>
      <c r="G44" s="101"/>
      <c r="H44" s="102"/>
      <c r="I44" s="207" t="s">
        <v>248</v>
      </c>
      <c r="J44" s="178"/>
      <c r="K44" s="178"/>
      <c r="L44" s="101"/>
      <c r="M44" s="102"/>
      <c r="N44" s="371"/>
      <c r="O44" s="420"/>
    </row>
    <row r="45" spans="4:15" ht="14.1" customHeight="1" x14ac:dyDescent="0.2">
      <c r="D45" s="196" t="s">
        <v>86</v>
      </c>
      <c r="E45" s="178">
        <v>11755627.890000001</v>
      </c>
      <c r="F45" s="178">
        <v>2500000</v>
      </c>
      <c r="G45" s="101">
        <v>3000000</v>
      </c>
      <c r="H45" s="102">
        <v>3000000</v>
      </c>
      <c r="I45" s="207" t="s">
        <v>249</v>
      </c>
      <c r="J45" s="178">
        <v>114125.91</v>
      </c>
      <c r="K45" s="178"/>
      <c r="L45" s="101"/>
      <c r="M45" s="102"/>
      <c r="N45" s="371"/>
      <c r="O45" s="420"/>
    </row>
    <row r="46" spans="4:15" ht="14.1" customHeight="1" x14ac:dyDescent="0.2">
      <c r="D46" s="183" t="s">
        <v>87</v>
      </c>
      <c r="E46" s="178">
        <v>142339.19</v>
      </c>
      <c r="F46" s="178">
        <v>150000</v>
      </c>
      <c r="G46" s="101">
        <v>150000</v>
      </c>
      <c r="H46" s="102">
        <v>150000</v>
      </c>
      <c r="I46" s="207" t="s">
        <v>250</v>
      </c>
      <c r="J46" s="178">
        <v>2345522.79</v>
      </c>
      <c r="K46" s="178">
        <v>2198466.5600000001</v>
      </c>
      <c r="L46" s="101">
        <v>1460896</v>
      </c>
      <c r="M46" s="102">
        <v>628165.59</v>
      </c>
      <c r="N46" s="371"/>
      <c r="O46" s="420"/>
    </row>
    <row r="47" spans="4:15" ht="14.1" customHeight="1" x14ac:dyDescent="0.2">
      <c r="D47" s="183" t="s">
        <v>88</v>
      </c>
      <c r="E47" s="178"/>
      <c r="F47" s="178"/>
      <c r="G47" s="101"/>
      <c r="H47" s="102"/>
      <c r="I47" s="203" t="s">
        <v>283</v>
      </c>
      <c r="J47" s="178"/>
      <c r="K47" s="178"/>
      <c r="L47" s="101">
        <v>27774798.300000001</v>
      </c>
      <c r="M47" s="102">
        <v>27774798.300000001</v>
      </c>
      <c r="N47" s="372">
        <f>(J47+J59)+PAIF!H36-PAIF!D41</f>
        <v>27833190.460000001</v>
      </c>
      <c r="O47" s="373">
        <f>(L47+L59)+PAIF!I36-PAIF!E41</f>
        <v>27774798.300000001</v>
      </c>
    </row>
    <row r="48" spans="4:15" ht="14.1" customHeight="1" x14ac:dyDescent="0.2">
      <c r="D48" s="183" t="s">
        <v>89</v>
      </c>
      <c r="E48" s="178">
        <v>5791372.3200000003</v>
      </c>
      <c r="F48" s="178">
        <v>2107921.9700000002</v>
      </c>
      <c r="G48" s="101">
        <v>2350095</v>
      </c>
      <c r="H48" s="102"/>
      <c r="I48" s="203" t="s">
        <v>121</v>
      </c>
      <c r="J48" s="178"/>
      <c r="K48" s="178"/>
      <c r="L48" s="101"/>
      <c r="M48" s="102"/>
      <c r="N48" s="371"/>
      <c r="O48" s="420"/>
    </row>
    <row r="49" spans="4:15" ht="14.1" customHeight="1" x14ac:dyDescent="0.2">
      <c r="D49" s="195" t="s">
        <v>90</v>
      </c>
      <c r="E49" s="178"/>
      <c r="F49" s="178"/>
      <c r="G49" s="101"/>
      <c r="H49" s="102"/>
      <c r="I49" s="203" t="s">
        <v>251</v>
      </c>
      <c r="J49" s="178"/>
      <c r="K49" s="178"/>
      <c r="L49" s="101"/>
      <c r="M49" s="102"/>
      <c r="N49" s="371"/>
      <c r="O49" s="420"/>
    </row>
    <row r="50" spans="4:15" ht="14.1" customHeight="1" x14ac:dyDescent="0.2">
      <c r="D50" s="201" t="s">
        <v>91</v>
      </c>
      <c r="E50" s="178">
        <v>32757850.239999998</v>
      </c>
      <c r="F50" s="178">
        <v>0</v>
      </c>
      <c r="G50" s="178">
        <f>SUM(G51:G56)</f>
        <v>34569591</v>
      </c>
      <c r="H50" s="179">
        <f>SUM(H51:H56)</f>
        <v>25000000</v>
      </c>
      <c r="I50" s="180"/>
      <c r="J50" s="178"/>
      <c r="K50" s="178"/>
      <c r="L50" s="178"/>
      <c r="M50" s="179"/>
      <c r="N50" s="371"/>
      <c r="O50" s="420"/>
    </row>
    <row r="51" spans="4:15" ht="14.1" customHeight="1" x14ac:dyDescent="0.2">
      <c r="D51" s="183" t="s">
        <v>242</v>
      </c>
      <c r="E51" s="178"/>
      <c r="F51" s="178"/>
      <c r="G51" s="101"/>
      <c r="H51" s="102"/>
      <c r="I51" s="175" t="s">
        <v>122</v>
      </c>
      <c r="J51" s="184">
        <v>414364539.38</v>
      </c>
      <c r="K51" s="184">
        <v>258492695.92000002</v>
      </c>
      <c r="L51" s="184">
        <f>L52+L53+L54+L59+L60+L68</f>
        <v>305339303.61000001</v>
      </c>
      <c r="M51" s="185">
        <f>M52+M53+M54+M59+M60+M68</f>
        <v>278773729.63</v>
      </c>
      <c r="N51" s="371"/>
      <c r="O51" s="420"/>
    </row>
    <row r="52" spans="4:15" ht="14.1" customHeight="1" x14ac:dyDescent="0.2">
      <c r="D52" s="183" t="s">
        <v>243</v>
      </c>
      <c r="E52" s="178"/>
      <c r="F52" s="178"/>
      <c r="G52" s="101"/>
      <c r="H52" s="102"/>
      <c r="I52" s="203" t="s">
        <v>123</v>
      </c>
      <c r="J52" s="178"/>
      <c r="K52" s="178"/>
      <c r="L52" s="101"/>
      <c r="M52" s="102"/>
      <c r="N52" s="371"/>
      <c r="O52" s="420"/>
    </row>
    <row r="53" spans="4:15" ht="14.1" customHeight="1" x14ac:dyDescent="0.2">
      <c r="D53" s="183" t="s">
        <v>244</v>
      </c>
      <c r="E53" s="178"/>
      <c r="F53" s="178"/>
      <c r="G53" s="101"/>
      <c r="H53" s="102"/>
      <c r="I53" s="203" t="s">
        <v>124</v>
      </c>
      <c r="J53" s="178">
        <v>1825295.53</v>
      </c>
      <c r="K53" s="178">
        <v>6436517.6900000004</v>
      </c>
      <c r="L53" s="101">
        <v>4301295.53</v>
      </c>
      <c r="M53" s="102">
        <v>4301295.53</v>
      </c>
      <c r="N53" s="371"/>
      <c r="O53" s="420"/>
    </row>
    <row r="54" spans="4:15" ht="14.1" customHeight="1" x14ac:dyDescent="0.2">
      <c r="D54" s="183" t="s">
        <v>245</v>
      </c>
      <c r="E54" s="178"/>
      <c r="F54" s="178"/>
      <c r="G54" s="101"/>
      <c r="H54" s="102"/>
      <c r="I54" s="203" t="s">
        <v>125</v>
      </c>
      <c r="J54" s="178">
        <v>183525622.51000002</v>
      </c>
      <c r="K54" s="178">
        <v>109613346.36</v>
      </c>
      <c r="L54" s="178">
        <f>SUM(L55:L58)</f>
        <v>96992046.079999998</v>
      </c>
      <c r="M54" s="179">
        <f>SUM(M55:M58)</f>
        <v>81732432</v>
      </c>
      <c r="N54" s="371"/>
      <c r="O54" s="420"/>
    </row>
    <row r="55" spans="4:15" ht="14.1" customHeight="1" x14ac:dyDescent="0.2">
      <c r="D55" s="183" t="s">
        <v>286</v>
      </c>
      <c r="E55" s="178"/>
      <c r="F55" s="178"/>
      <c r="G55" s="101"/>
      <c r="H55" s="102"/>
      <c r="I55" s="207" t="s">
        <v>120</v>
      </c>
      <c r="J55" s="178">
        <v>182424998.08000001</v>
      </c>
      <c r="K55" s="178">
        <v>106041630</v>
      </c>
      <c r="L55" s="101">
        <f>96057419.08</f>
        <v>96057419.079999998</v>
      </c>
      <c r="M55" s="102">
        <f>79449905+1500000</f>
        <v>80949905</v>
      </c>
      <c r="N55" s="371"/>
      <c r="O55" s="420"/>
    </row>
    <row r="56" spans="4:15" ht="14.1" customHeight="1" x14ac:dyDescent="0.2">
      <c r="D56" s="183" t="s">
        <v>285</v>
      </c>
      <c r="E56" s="178">
        <v>32757850.239999998</v>
      </c>
      <c r="F56" s="178"/>
      <c r="G56" s="101">
        <v>34569591</v>
      </c>
      <c r="H56" s="102">
        <v>25000000</v>
      </c>
      <c r="I56" s="207" t="s">
        <v>248</v>
      </c>
      <c r="J56" s="178"/>
      <c r="K56" s="178"/>
      <c r="L56" s="101"/>
      <c r="M56" s="102"/>
      <c r="N56" s="371"/>
      <c r="O56" s="420"/>
    </row>
    <row r="57" spans="4:15" ht="14.1" customHeight="1" x14ac:dyDescent="0.2">
      <c r="D57" s="202" t="s">
        <v>246</v>
      </c>
      <c r="E57" s="178"/>
      <c r="F57" s="178"/>
      <c r="G57" s="101"/>
      <c r="H57" s="102"/>
      <c r="I57" s="207" t="s">
        <v>249</v>
      </c>
      <c r="J57" s="178"/>
      <c r="K57" s="178"/>
      <c r="L57" s="101"/>
      <c r="M57" s="102"/>
      <c r="N57" s="371"/>
      <c r="O57" s="420"/>
    </row>
    <row r="58" spans="4:15" ht="14.1" customHeight="1" x14ac:dyDescent="0.2">
      <c r="D58" s="202" t="s">
        <v>92</v>
      </c>
      <c r="E58" s="178">
        <v>25882400.420000002</v>
      </c>
      <c r="F58" s="178">
        <v>35459403.32</v>
      </c>
      <c r="G58" s="178">
        <f>SUM(G59:G60)</f>
        <v>15439242</v>
      </c>
      <c r="H58" s="179">
        <f>SUM(H59:H60)</f>
        <v>15459403.32</v>
      </c>
      <c r="I58" s="207" t="s">
        <v>250</v>
      </c>
      <c r="J58" s="178">
        <v>1100624.43</v>
      </c>
      <c r="K58" s="178">
        <v>3571716.36</v>
      </c>
      <c r="L58" s="101">
        <f>934627</f>
        <v>934627</v>
      </c>
      <c r="M58" s="102">
        <f>2282527-1500000</f>
        <v>782527</v>
      </c>
      <c r="N58" s="371"/>
      <c r="O58" s="420"/>
    </row>
    <row r="59" spans="4:15" ht="14.1" customHeight="1" x14ac:dyDescent="0.2">
      <c r="D59" s="195" t="s">
        <v>93</v>
      </c>
      <c r="E59" s="178">
        <v>25882400.420000002</v>
      </c>
      <c r="F59" s="178">
        <v>35459403.32</v>
      </c>
      <c r="G59" s="101">
        <v>15439242</v>
      </c>
      <c r="H59" s="102">
        <v>15459403.32</v>
      </c>
      <c r="I59" s="203" t="s">
        <v>312</v>
      </c>
      <c r="J59" s="178">
        <v>58392.46</v>
      </c>
      <c r="K59" s="178"/>
      <c r="L59" s="101"/>
      <c r="M59" s="102"/>
      <c r="N59" s="371"/>
      <c r="O59" s="420"/>
    </row>
    <row r="60" spans="4:15" ht="14.1" customHeight="1" x14ac:dyDescent="0.2">
      <c r="D60" s="195" t="s">
        <v>94</v>
      </c>
      <c r="E60" s="178"/>
      <c r="F60" s="178"/>
      <c r="G60" s="101"/>
      <c r="H60" s="102"/>
      <c r="I60" s="203" t="s">
        <v>126</v>
      </c>
      <c r="J60" s="178">
        <v>228955228.88</v>
      </c>
      <c r="K60" s="178">
        <v>142442831.87</v>
      </c>
      <c r="L60" s="178">
        <f>SUM(L61:L67)</f>
        <v>204045962</v>
      </c>
      <c r="M60" s="179">
        <f>SUM(M61:M67)</f>
        <v>192740002.09999999</v>
      </c>
      <c r="N60" s="371"/>
      <c r="O60" s="420"/>
    </row>
    <row r="61" spans="4:15" ht="14.1" customHeight="1" x14ac:dyDescent="0.2">
      <c r="D61" s="208"/>
      <c r="E61" s="266"/>
      <c r="F61" s="266"/>
      <c r="G61" s="266"/>
      <c r="H61" s="267"/>
      <c r="I61" s="186" t="s">
        <v>127</v>
      </c>
      <c r="J61" s="178">
        <v>94250420.799999997</v>
      </c>
      <c r="K61" s="178">
        <v>73442831.870000005</v>
      </c>
      <c r="L61" s="101">
        <v>105377113</v>
      </c>
      <c r="M61" s="102">
        <v>94590887.629999995</v>
      </c>
      <c r="N61" s="371"/>
      <c r="O61" s="420"/>
    </row>
    <row r="62" spans="4:15" ht="14.1" customHeight="1" x14ac:dyDescent="0.2">
      <c r="D62" s="208"/>
      <c r="E62" s="237"/>
      <c r="F62" s="237"/>
      <c r="G62" s="237"/>
      <c r="H62" s="248"/>
      <c r="I62" s="186" t="s">
        <v>474</v>
      </c>
      <c r="J62" s="178">
        <v>13910040.65</v>
      </c>
      <c r="K62" s="178">
        <v>2000000</v>
      </c>
      <c r="L62" s="101">
        <v>853959</v>
      </c>
      <c r="M62" s="102">
        <v>2000000</v>
      </c>
      <c r="N62" s="371"/>
      <c r="O62" s="420"/>
    </row>
    <row r="63" spans="4:15" ht="14.1" customHeight="1" x14ac:dyDescent="0.2">
      <c r="D63" s="208"/>
      <c r="E63" s="237"/>
      <c r="F63" s="237"/>
      <c r="G63" s="237"/>
      <c r="H63" s="248"/>
      <c r="I63" s="186" t="s">
        <v>128</v>
      </c>
      <c r="J63" s="178">
        <v>91665274.859999999</v>
      </c>
      <c r="K63" s="178">
        <v>58000000</v>
      </c>
      <c r="L63" s="101">
        <v>75862933</v>
      </c>
      <c r="M63" s="102">
        <v>70000000</v>
      </c>
      <c r="N63" s="371"/>
      <c r="O63" s="420"/>
    </row>
    <row r="64" spans="4:15" ht="14.1" customHeight="1" x14ac:dyDescent="0.2">
      <c r="D64" s="208"/>
      <c r="E64" s="237"/>
      <c r="F64" s="237"/>
      <c r="G64" s="237"/>
      <c r="H64" s="248"/>
      <c r="I64" s="186" t="s">
        <v>129</v>
      </c>
      <c r="J64" s="178">
        <v>1013631.29</v>
      </c>
      <c r="K64" s="178">
        <v>1000000</v>
      </c>
      <c r="L64" s="101">
        <v>1000000</v>
      </c>
      <c r="M64" s="102">
        <v>1000000</v>
      </c>
      <c r="N64" s="371"/>
      <c r="O64" s="420"/>
    </row>
    <row r="65" spans="2:15" ht="14.1" customHeight="1" x14ac:dyDescent="0.2">
      <c r="D65" s="208"/>
      <c r="E65" s="237"/>
      <c r="F65" s="237"/>
      <c r="G65" s="237"/>
      <c r="H65" s="248"/>
      <c r="I65" s="186" t="s">
        <v>130</v>
      </c>
      <c r="J65" s="178"/>
      <c r="K65" s="178"/>
      <c r="L65" s="101"/>
      <c r="M65" s="102"/>
      <c r="N65" s="371"/>
      <c r="O65" s="420"/>
    </row>
    <row r="66" spans="2:15" ht="14.1" customHeight="1" x14ac:dyDescent="0.2">
      <c r="D66" s="208"/>
      <c r="E66" s="237"/>
      <c r="F66" s="237"/>
      <c r="G66" s="237"/>
      <c r="H66" s="248"/>
      <c r="I66" s="186" t="s">
        <v>131</v>
      </c>
      <c r="J66" s="178">
        <v>7932877.9100000001</v>
      </c>
      <c r="K66" s="178">
        <v>1000000</v>
      </c>
      <c r="L66" s="101">
        <v>1000000</v>
      </c>
      <c r="M66" s="102">
        <v>8103373.4699999997</v>
      </c>
      <c r="N66" s="371"/>
      <c r="O66" s="420"/>
    </row>
    <row r="67" spans="2:15" ht="14.1" customHeight="1" x14ac:dyDescent="0.2">
      <c r="D67" s="208"/>
      <c r="E67" s="237"/>
      <c r="F67" s="237"/>
      <c r="G67" s="237"/>
      <c r="H67" s="248"/>
      <c r="I67" s="186" t="s">
        <v>132</v>
      </c>
      <c r="J67" s="178">
        <v>20182983.370000001</v>
      </c>
      <c r="K67" s="178">
        <v>7000000</v>
      </c>
      <c r="L67" s="101">
        <f>20000000-47803-240</f>
        <v>19951957</v>
      </c>
      <c r="M67" s="102">
        <v>17045741</v>
      </c>
      <c r="N67" s="371"/>
      <c r="O67" s="420"/>
    </row>
    <row r="68" spans="2:15" ht="14.1" customHeight="1" x14ac:dyDescent="0.2">
      <c r="D68" s="208"/>
      <c r="E68" s="237"/>
      <c r="F68" s="237"/>
      <c r="G68" s="237"/>
      <c r="H68" s="248"/>
      <c r="I68" s="203" t="s">
        <v>252</v>
      </c>
      <c r="J68" s="178"/>
      <c r="K68" s="178"/>
      <c r="L68" s="101"/>
      <c r="M68" s="102"/>
      <c r="N68" s="371"/>
      <c r="O68" s="420"/>
    </row>
    <row r="69" spans="2:15" ht="14.1" customHeight="1" thickBot="1" x14ac:dyDescent="0.25">
      <c r="D69" s="208"/>
      <c r="E69" s="237"/>
      <c r="F69" s="237"/>
      <c r="G69" s="237"/>
      <c r="H69" s="248"/>
      <c r="J69" s="456"/>
      <c r="K69" s="456"/>
      <c r="L69" s="270"/>
      <c r="M69" s="271"/>
      <c r="N69" s="371"/>
      <c r="O69" s="420"/>
    </row>
    <row r="70" spans="2:15" ht="16.5" thickBot="1" x14ac:dyDescent="0.25">
      <c r="D70" s="209" t="s">
        <v>95</v>
      </c>
      <c r="E70" s="210">
        <v>1098767243</v>
      </c>
      <c r="F70" s="210">
        <v>1072209742.74</v>
      </c>
      <c r="G70" s="210">
        <f>G10+G33</f>
        <v>1038582796.8999999</v>
      </c>
      <c r="H70" s="210">
        <f>H10+H33</f>
        <v>949676101.42999995</v>
      </c>
      <c r="I70" s="211" t="s">
        <v>133</v>
      </c>
      <c r="J70" s="210">
        <v>1098767243</v>
      </c>
      <c r="K70" s="210">
        <v>1072209742.74</v>
      </c>
      <c r="L70" s="210">
        <f>L10+L36+L51</f>
        <v>1038582796.7799999</v>
      </c>
      <c r="M70" s="210">
        <f>M10+M36+M51</f>
        <v>949676101.31999993</v>
      </c>
      <c r="N70" s="371"/>
      <c r="O70" s="420"/>
    </row>
    <row r="71" spans="2:15" x14ac:dyDescent="0.2">
      <c r="D71" s="198"/>
      <c r="E71" s="198"/>
      <c r="F71" s="198"/>
      <c r="G71" s="198"/>
      <c r="H71" s="198"/>
      <c r="I71" s="198"/>
      <c r="J71" s="198"/>
      <c r="K71" s="198"/>
      <c r="L71" s="221"/>
      <c r="M71" s="221"/>
    </row>
    <row r="72" spans="2:15" s="199" customFormat="1" ht="15" customHeight="1" x14ac:dyDescent="0.2">
      <c r="B72" s="420"/>
      <c r="C72" s="420"/>
      <c r="D72" s="280" t="s">
        <v>281</v>
      </c>
      <c r="N72" s="200"/>
    </row>
    <row r="73" spans="2:15" s="199" customFormat="1" ht="15" customHeight="1" x14ac:dyDescent="0.2">
      <c r="B73" s="420"/>
      <c r="C73" s="420"/>
      <c r="D73" s="281" t="str">
        <f>IF((E70+F70+G70+H70)=(J70+K70+L70+M70)," ","TOTAL ACTIVOS Y TOTAL PN Y PASIVOS NO COINCIDEN")</f>
        <v>TOTAL ACTIVOS Y TOTAL PN Y PASIVOS NO COINCIDEN</v>
      </c>
      <c r="E73" s="282"/>
      <c r="F73" s="283"/>
      <c r="N73" s="200"/>
    </row>
    <row r="74" spans="2:15" s="199" customFormat="1" ht="15" customHeight="1" x14ac:dyDescent="0.2">
      <c r="B74" s="420"/>
      <c r="C74" s="420"/>
      <c r="D74" s="284" t="str">
        <f>IF(L21&gt;0,"RESULTADOS NEGATIVOS DE EJERCICIOS ANTERIORES NO PUEDE SER POSITIVO","")</f>
        <v/>
      </c>
      <c r="E74" s="429"/>
      <c r="F74" s="432"/>
      <c r="N74" s="200"/>
    </row>
    <row r="75" spans="2:15" s="199" customFormat="1" ht="15" customHeight="1" x14ac:dyDescent="0.2">
      <c r="B75" s="420"/>
      <c r="C75" s="420"/>
      <c r="D75" s="285" t="str">
        <f>IF(M21&gt;0,"RESULTADOS NEGATIVOS DE EJERCICIOS ANTERIORES NO PUEDE SER POSITIVO","")</f>
        <v/>
      </c>
      <c r="E75" s="430"/>
      <c r="F75" s="431"/>
      <c r="N75" s="200"/>
    </row>
    <row r="76" spans="2:15" s="199" customFormat="1" ht="15" customHeight="1" x14ac:dyDescent="0.2">
      <c r="B76" s="420"/>
      <c r="C76" s="420"/>
      <c r="N76" s="200"/>
    </row>
    <row r="77" spans="2:15" hidden="1" x14ac:dyDescent="0.2">
      <c r="D77" s="513" t="s">
        <v>391</v>
      </c>
      <c r="E77" s="514"/>
      <c r="F77" s="516"/>
      <c r="G77" s="375"/>
      <c r="H77" s="198"/>
      <c r="I77" s="198"/>
      <c r="J77" s="198"/>
      <c r="K77" s="476" t="s">
        <v>472</v>
      </c>
      <c r="L77" s="478">
        <f>L44+L56</f>
        <v>0</v>
      </c>
      <c r="M77" s="480">
        <f>M44+M56</f>
        <v>0</v>
      </c>
    </row>
    <row r="78" spans="2:15" hidden="1" x14ac:dyDescent="0.2">
      <c r="D78" s="376"/>
      <c r="E78" s="377"/>
      <c r="F78" s="378" t="s">
        <v>389</v>
      </c>
      <c r="G78" s="374"/>
      <c r="H78" s="198"/>
      <c r="I78" s="198"/>
      <c r="J78" s="198"/>
      <c r="K78" s="477" t="s">
        <v>473</v>
      </c>
      <c r="L78" s="479">
        <f>PASIVOS!G54</f>
        <v>0</v>
      </c>
      <c r="M78" s="481">
        <f>PASIVOS!J54</f>
        <v>0</v>
      </c>
    </row>
    <row r="79" spans="2:15" hidden="1" x14ac:dyDescent="0.2">
      <c r="D79" s="379" t="s">
        <v>388</v>
      </c>
      <c r="E79" s="371">
        <f>J43+J55</f>
        <v>708867787.49000001</v>
      </c>
      <c r="F79" s="385"/>
      <c r="G79" s="199"/>
      <c r="H79" s="198"/>
      <c r="I79" s="198"/>
      <c r="J79" s="198"/>
      <c r="K79" s="198"/>
      <c r="L79" s="198"/>
      <c r="M79" s="198"/>
    </row>
    <row r="80" spans="2:15" hidden="1" x14ac:dyDescent="0.2">
      <c r="D80" s="379" t="s">
        <v>385</v>
      </c>
      <c r="E80" s="371">
        <f>PAIF!H35</f>
        <v>95217252</v>
      </c>
      <c r="F80" s="380">
        <f>EFE!E65</f>
        <v>95217252</v>
      </c>
      <c r="G80" s="199"/>
      <c r="H80" s="198"/>
      <c r="I80" s="198"/>
      <c r="J80" s="198"/>
      <c r="K80" s="198"/>
      <c r="L80" s="198"/>
      <c r="M80" s="198"/>
    </row>
    <row r="81" spans="4:13" hidden="1" x14ac:dyDescent="0.2">
      <c r="D81" s="379" t="s">
        <v>386</v>
      </c>
      <c r="E81" s="371">
        <f>-PAIF!D40</f>
        <v>-147609967</v>
      </c>
      <c r="F81" s="380">
        <f>EFE!E69</f>
        <v>-147609967</v>
      </c>
      <c r="G81" s="199"/>
      <c r="H81" s="198"/>
      <c r="I81" s="198"/>
      <c r="J81" s="198"/>
      <c r="K81" s="198"/>
      <c r="L81" s="198"/>
      <c r="M81" s="198"/>
    </row>
    <row r="82" spans="4:13" hidden="1" x14ac:dyDescent="0.2">
      <c r="D82" s="381" t="s">
        <v>387</v>
      </c>
      <c r="E82" s="382">
        <f>L43+L55</f>
        <v>655677672.63999999</v>
      </c>
      <c r="F82" s="386"/>
      <c r="G82" s="199"/>
      <c r="H82" s="198"/>
      <c r="I82" s="198"/>
      <c r="J82" s="198"/>
      <c r="K82" s="198"/>
      <c r="L82" s="198"/>
      <c r="M82" s="198"/>
    </row>
    <row r="83" spans="4:13" hidden="1" x14ac:dyDescent="0.2">
      <c r="D83" s="198"/>
      <c r="E83" s="198"/>
      <c r="F83" s="198"/>
      <c r="G83" s="198"/>
      <c r="H83" s="198"/>
      <c r="I83" s="198"/>
      <c r="J83" s="198"/>
      <c r="K83" s="198"/>
      <c r="L83" s="198"/>
      <c r="M83" s="198"/>
    </row>
    <row r="84" spans="4:13" hidden="1" x14ac:dyDescent="0.2">
      <c r="D84" s="198"/>
      <c r="E84" s="198"/>
      <c r="F84" s="198"/>
      <c r="G84" s="198"/>
      <c r="H84" s="198"/>
      <c r="I84" s="198"/>
      <c r="J84" s="198"/>
      <c r="K84" s="198"/>
      <c r="L84" s="198"/>
      <c r="M84" s="198"/>
    </row>
    <row r="85" spans="4:13" hidden="1" x14ac:dyDescent="0.2">
      <c r="D85" s="513" t="s">
        <v>392</v>
      </c>
      <c r="E85" s="514"/>
      <c r="F85" s="514"/>
      <c r="G85" s="384"/>
      <c r="H85" s="198"/>
      <c r="I85" s="198"/>
      <c r="J85" s="198"/>
      <c r="K85" s="198"/>
      <c r="L85" s="198"/>
      <c r="M85" s="198"/>
    </row>
    <row r="86" spans="4:13" hidden="1" x14ac:dyDescent="0.2">
      <c r="D86" s="376"/>
      <c r="E86" s="377"/>
      <c r="F86" s="383" t="s">
        <v>389</v>
      </c>
      <c r="G86" s="378" t="s">
        <v>390</v>
      </c>
      <c r="H86" s="198"/>
      <c r="I86" s="198"/>
      <c r="J86" s="198"/>
      <c r="K86" s="198"/>
      <c r="L86" s="198"/>
      <c r="M86" s="198"/>
    </row>
    <row r="87" spans="4:13" hidden="1" x14ac:dyDescent="0.2">
      <c r="D87" s="379" t="s">
        <v>388</v>
      </c>
      <c r="E87" s="371">
        <f>L43+L55</f>
        <v>655677672.63999999</v>
      </c>
      <c r="F87" s="387"/>
      <c r="G87" s="380">
        <f>HIPOTECARIOS!E2</f>
        <v>684719624.43999994</v>
      </c>
      <c r="H87" s="198"/>
      <c r="I87" s="198"/>
      <c r="J87" s="198"/>
      <c r="K87" s="198"/>
      <c r="L87" s="198"/>
      <c r="M87" s="198"/>
    </row>
    <row r="88" spans="4:13" hidden="1" x14ac:dyDescent="0.2">
      <c r="D88" s="379" t="s">
        <v>385</v>
      </c>
      <c r="E88" s="371">
        <f>PAIF!I35</f>
        <v>54163572</v>
      </c>
      <c r="F88" s="371">
        <f>EFE!F65</f>
        <v>54163572</v>
      </c>
      <c r="G88" s="380">
        <f>HIPOTECARIOS!F2</f>
        <v>54163572</v>
      </c>
      <c r="H88" s="198"/>
      <c r="I88" s="198"/>
      <c r="J88" s="198"/>
      <c r="K88" s="198"/>
      <c r="L88" s="198"/>
      <c r="M88" s="198"/>
    </row>
    <row r="89" spans="4:13" hidden="1" x14ac:dyDescent="0.2">
      <c r="D89" s="379" t="s">
        <v>386</v>
      </c>
      <c r="E89" s="371">
        <f>-PAIF!E40</f>
        <v>-133217089</v>
      </c>
      <c r="F89" s="371">
        <f>EFE!F69</f>
        <v>-133983056</v>
      </c>
      <c r="G89" s="380">
        <f>-(HIPOTECARIOS!G2+HIPOTECARIOS!H2)</f>
        <v>-134917682.42000002</v>
      </c>
      <c r="H89" s="198"/>
      <c r="I89" s="198"/>
      <c r="J89" s="198"/>
      <c r="K89" s="198"/>
      <c r="L89" s="198"/>
      <c r="M89" s="198"/>
    </row>
    <row r="90" spans="4:13" hidden="1" x14ac:dyDescent="0.2">
      <c r="D90" s="381" t="s">
        <v>387</v>
      </c>
      <c r="E90" s="382">
        <f>M43+M55</f>
        <v>575658189.39999998</v>
      </c>
      <c r="F90" s="388"/>
      <c r="G90" s="424">
        <f>HIPOTECARIOS!I2</f>
        <v>603965514.01999998</v>
      </c>
      <c r="H90" s="198"/>
      <c r="I90" s="198"/>
      <c r="J90" s="198"/>
      <c r="K90" s="198"/>
      <c r="L90" s="198"/>
      <c r="M90" s="198"/>
    </row>
    <row r="91" spans="4:13" x14ac:dyDescent="0.2">
      <c r="D91" s="198"/>
      <c r="E91" s="198"/>
      <c r="F91" s="198"/>
      <c r="G91" s="198"/>
      <c r="H91" s="198"/>
      <c r="I91" s="198"/>
      <c r="J91" s="198"/>
      <c r="K91" s="198"/>
      <c r="L91" s="198"/>
      <c r="M91" s="198"/>
    </row>
    <row r="92" spans="4:13" x14ac:dyDescent="0.2">
      <c r="D92" s="170"/>
      <c r="E92" s="170"/>
      <c r="F92" s="170"/>
      <c r="G92" s="170"/>
      <c r="H92" s="170"/>
      <c r="I92" s="170"/>
      <c r="J92" s="170"/>
      <c r="K92" s="170"/>
      <c r="L92" s="170"/>
      <c r="M92" s="170"/>
    </row>
    <row r="94" spans="4:13" x14ac:dyDescent="0.2">
      <c r="I94" s="468"/>
    </row>
    <row r="103" spans="13:13" x14ac:dyDescent="0.2">
      <c r="M103" s="468">
        <f>+M43+M55</f>
        <v>575658189.39999998</v>
      </c>
    </row>
  </sheetData>
  <sheetProtection password="CE88" sheet="1" objects="1" scenarios="1"/>
  <mergeCells count="4">
    <mergeCell ref="D85:F85"/>
    <mergeCell ref="D7:D8"/>
    <mergeCell ref="I7:I8"/>
    <mergeCell ref="D77:F77"/>
  </mergeCells>
  <phoneticPr fontId="0" type="noConversion"/>
  <conditionalFormatting sqref="N47">
    <cfRule type="cellIs" dxfId="30" priority="1" stopIfTrue="1" operator="notEqual">
      <formula>$L$47+$L$59</formula>
    </cfRule>
  </conditionalFormatting>
  <conditionalFormatting sqref="O47">
    <cfRule type="cellIs" dxfId="29" priority="2" stopIfTrue="1" operator="notEqual">
      <formula>$M$47+$M$59</formula>
    </cfRule>
  </conditionalFormatting>
  <conditionalFormatting sqref="E82">
    <cfRule type="cellIs" dxfId="28" priority="3" stopIfTrue="1" operator="notEqual">
      <formula>$E$79+$E$80+$E$81</formula>
    </cfRule>
  </conditionalFormatting>
  <conditionalFormatting sqref="F80">
    <cfRule type="cellIs" dxfId="27" priority="4" stopIfTrue="1" operator="notEqual">
      <formula>$E$80</formula>
    </cfRule>
  </conditionalFormatting>
  <conditionalFormatting sqref="F81">
    <cfRule type="cellIs" dxfId="26" priority="5" stopIfTrue="1" operator="notEqual">
      <formula>$E$81</formula>
    </cfRule>
  </conditionalFormatting>
  <conditionalFormatting sqref="E90">
    <cfRule type="cellIs" dxfId="25" priority="6" stopIfTrue="1" operator="notEqual">
      <formula>$E$87+$E$88+$E$89</formula>
    </cfRule>
  </conditionalFormatting>
  <conditionalFormatting sqref="F88:G88">
    <cfRule type="cellIs" dxfId="24" priority="7" stopIfTrue="1" operator="notEqual">
      <formula>$E$88</formula>
    </cfRule>
  </conditionalFormatting>
  <conditionalFormatting sqref="F89:G89">
    <cfRule type="cellIs" dxfId="23" priority="8" stopIfTrue="1" operator="notEqual">
      <formula>$E$89</formula>
    </cfRule>
  </conditionalFormatting>
  <conditionalFormatting sqref="G87">
    <cfRule type="cellIs" dxfId="22" priority="9" stopIfTrue="1" operator="notEqual">
      <formula>$E$87</formula>
    </cfRule>
  </conditionalFormatting>
  <conditionalFormatting sqref="G90">
    <cfRule type="cellIs" dxfId="21" priority="10" stopIfTrue="1" operator="notEqual">
      <formula>$E$90</formula>
    </cfRule>
  </conditionalFormatting>
  <conditionalFormatting sqref="N31">
    <cfRule type="cellIs" dxfId="20" priority="11" stopIfTrue="1" operator="notEqual">
      <formula>L31+L48</formula>
    </cfRule>
  </conditionalFormatting>
  <conditionalFormatting sqref="O31">
    <cfRule type="cellIs" dxfId="19" priority="12" stopIfTrue="1" operator="notEqual">
      <formula>$M$31+$M$48</formula>
    </cfRule>
  </conditionalFormatting>
  <conditionalFormatting sqref="L78">
    <cfRule type="cellIs" dxfId="18" priority="13" stopIfTrue="1" operator="equal">
      <formula>$L$77</formula>
    </cfRule>
  </conditionalFormatting>
  <conditionalFormatting sqref="M78">
    <cfRule type="cellIs" dxfId="17" priority="14" stopIfTrue="1" operator="equal">
      <formula>$M$77</formula>
    </cfRule>
  </conditionalFormatting>
  <printOptions horizontalCentered="1" verticalCentered="1"/>
  <pageMargins left="1.0629921259842521" right="0.74803149606299213" top="0.59055118110236227" bottom="0.70866141732283472" header="0" footer="0.39370078740157483"/>
  <pageSetup paperSize="9" scale="4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4"/>
  <sheetViews>
    <sheetView showZeros="0" zoomScale="75" zoomScaleNormal="75" workbookViewId="0">
      <selection activeCell="F80" sqref="F80"/>
    </sheetView>
  </sheetViews>
  <sheetFormatPr baseColWidth="10" defaultRowHeight="14.25" x14ac:dyDescent="0.2"/>
  <cols>
    <col min="1" max="1" width="4.7109375" style="170" customWidth="1"/>
    <col min="2" max="2" width="53.7109375" style="170" customWidth="1"/>
    <col min="3" max="6" width="20.7109375" style="170" customWidth="1"/>
    <col min="7" max="8" width="20.7109375" style="420" hidden="1" customWidth="1"/>
    <col min="9" max="10" width="11.42578125" style="170"/>
    <col min="11" max="14" width="20.7109375" style="170" customWidth="1"/>
    <col min="15" max="16384" width="11.42578125" style="170"/>
  </cols>
  <sheetData>
    <row r="1" spans="2:14" ht="15" customHeight="1" x14ac:dyDescent="0.2"/>
    <row r="2" spans="2:14" ht="15" customHeight="1" x14ac:dyDescent="0.2"/>
    <row r="3" spans="2:14" ht="22.5" customHeight="1" thickBot="1" x14ac:dyDescent="0.25">
      <c r="B3" s="503" t="s">
        <v>189</v>
      </c>
      <c r="C3" s="503"/>
      <c r="D3" s="503"/>
      <c r="E3" s="503"/>
      <c r="F3" s="503"/>
    </row>
    <row r="4" spans="2:14" ht="18" customHeight="1" thickTop="1" thickBot="1" x14ac:dyDescent="0.25">
      <c r="B4" s="172" t="str">
        <f>PyG!B4</f>
        <v>PRESUPUESTO 2013</v>
      </c>
      <c r="D4" s="172"/>
      <c r="E4" s="172"/>
      <c r="F4" s="174" t="s">
        <v>450</v>
      </c>
    </row>
    <row r="5" spans="2:14" ht="18" customHeight="1" thickTop="1" x14ac:dyDescent="0.2">
      <c r="B5" s="175" t="str">
        <f>PyG!B5</f>
        <v>CENTRO: 701</v>
      </c>
      <c r="C5" s="172"/>
      <c r="D5" s="172"/>
      <c r="E5" s="172"/>
    </row>
    <row r="6" spans="2:14" ht="18" customHeight="1" x14ac:dyDescent="0.2">
      <c r="B6" s="175" t="str">
        <f>PyG!B6</f>
        <v>SECCION: 035</v>
      </c>
      <c r="C6" s="172"/>
      <c r="D6" s="172"/>
      <c r="E6" s="172"/>
    </row>
    <row r="7" spans="2:14" ht="18" customHeight="1" x14ac:dyDescent="0.2">
      <c r="B7" s="175" t="str">
        <f>PyG!B7</f>
        <v>SOCIEDAD: EMPRESA MUNICIPAL DE LA VIVIENDA Y SUELO DE MADRID S.A.</v>
      </c>
      <c r="C7" s="172"/>
      <c r="D7" s="172"/>
      <c r="E7" s="172"/>
    </row>
    <row r="8" spans="2:14" ht="5.0999999999999996" customHeight="1" thickBot="1" x14ac:dyDescent="0.25">
      <c r="B8" s="172"/>
      <c r="C8" s="172"/>
      <c r="D8" s="172"/>
      <c r="E8" s="172"/>
      <c r="F8" s="171"/>
    </row>
    <row r="9" spans="2:14" ht="15.75" x14ac:dyDescent="0.2">
      <c r="B9" s="212"/>
      <c r="C9" s="91" t="s">
        <v>35</v>
      </c>
      <c r="D9" s="91" t="s">
        <v>4</v>
      </c>
      <c r="E9" s="92" t="s">
        <v>5</v>
      </c>
      <c r="F9" s="93" t="s">
        <v>4</v>
      </c>
      <c r="H9" s="421"/>
      <c r="I9" s="222"/>
      <c r="J9" s="222"/>
      <c r="K9" s="502"/>
      <c r="L9" s="502"/>
      <c r="M9" s="502"/>
      <c r="N9" s="502"/>
    </row>
    <row r="10" spans="2:14" ht="16.5" thickBot="1" x14ac:dyDescent="0.25">
      <c r="B10" s="213"/>
      <c r="C10" s="94">
        <v>2011</v>
      </c>
      <c r="D10" s="94">
        <v>2012</v>
      </c>
      <c r="E10" s="94">
        <v>2012</v>
      </c>
      <c r="F10" s="95">
        <v>2013</v>
      </c>
      <c r="H10" s="422"/>
      <c r="I10" s="502"/>
      <c r="J10" s="502"/>
      <c r="K10" s="223"/>
      <c r="L10" s="223"/>
      <c r="M10" s="223"/>
      <c r="N10" s="223"/>
    </row>
    <row r="11" spans="2:14" ht="14.1" customHeight="1" thickTop="1" x14ac:dyDescent="0.2">
      <c r="B11" s="224"/>
      <c r="C11" s="235"/>
      <c r="D11" s="235"/>
      <c r="E11" s="235"/>
      <c r="F11" s="236"/>
      <c r="H11" s="371"/>
      <c r="I11" s="171"/>
      <c r="J11" s="171"/>
      <c r="K11" s="171"/>
      <c r="L11" s="171"/>
      <c r="M11" s="171"/>
      <c r="N11" s="171"/>
    </row>
    <row r="12" spans="2:14" ht="14.1" customHeight="1" x14ac:dyDescent="0.2">
      <c r="B12" s="194" t="s">
        <v>190</v>
      </c>
      <c r="C12" s="178"/>
      <c r="D12" s="178"/>
      <c r="E12" s="178"/>
      <c r="F12" s="179"/>
      <c r="H12" s="371"/>
      <c r="I12" s="171"/>
      <c r="J12" s="171"/>
      <c r="K12" s="181"/>
      <c r="L12" s="181"/>
      <c r="M12" s="171"/>
      <c r="N12" s="171"/>
    </row>
    <row r="13" spans="2:14" ht="14.1" customHeight="1" x14ac:dyDescent="0.2">
      <c r="B13" s="232" t="s">
        <v>191</v>
      </c>
      <c r="C13" s="178">
        <f>PyG!C77</f>
        <v>-26268259.919999979</v>
      </c>
      <c r="D13" s="178">
        <v>2.000001072883606E-2</v>
      </c>
      <c r="E13" s="178">
        <f>PyG!E77</f>
        <v>-11592130.300000006</v>
      </c>
      <c r="F13" s="179">
        <f>PyG!F77</f>
        <v>-0.44000000506639481</v>
      </c>
      <c r="H13" s="371"/>
      <c r="I13" s="171"/>
      <c r="J13" s="171"/>
      <c r="K13" s="171"/>
      <c r="L13" s="171"/>
      <c r="M13" s="171"/>
      <c r="N13" s="171"/>
    </row>
    <row r="14" spans="2:14" ht="14.1" customHeight="1" x14ac:dyDescent="0.2">
      <c r="B14" s="232" t="s">
        <v>192</v>
      </c>
      <c r="C14" s="178">
        <f>SUM(C15:C25)</f>
        <v>33876874.629999995</v>
      </c>
      <c r="D14" s="178">
        <v>14374609.719999999</v>
      </c>
      <c r="E14" s="178">
        <f>SUM(E15:E25)</f>
        <v>26748865.890000001</v>
      </c>
      <c r="F14" s="179">
        <f>SUM(F15:F25)</f>
        <v>26887211.039999999</v>
      </c>
      <c r="H14" s="371"/>
      <c r="I14" s="171"/>
      <c r="J14" s="171"/>
      <c r="K14" s="181"/>
      <c r="L14" s="171"/>
      <c r="M14" s="171"/>
      <c r="N14" s="171"/>
    </row>
    <row r="15" spans="2:14" ht="14.1" customHeight="1" x14ac:dyDescent="0.2">
      <c r="B15" s="188" t="s">
        <v>193</v>
      </c>
      <c r="C15" s="178">
        <f>-PyG!C44</f>
        <v>8226223.6399999997</v>
      </c>
      <c r="D15" s="178">
        <v>7900000</v>
      </c>
      <c r="E15" s="178">
        <f>-PyG!E44</f>
        <v>8921329.1099999994</v>
      </c>
      <c r="F15" s="179">
        <f>-PyG!F44</f>
        <v>8799816.1300000008</v>
      </c>
      <c r="H15" s="371"/>
      <c r="I15" s="171"/>
      <c r="J15" s="171"/>
      <c r="K15" s="171"/>
      <c r="L15" s="171"/>
      <c r="M15" s="171"/>
      <c r="N15" s="171"/>
    </row>
    <row r="16" spans="2:14" ht="14.1" customHeight="1" x14ac:dyDescent="0.2">
      <c r="B16" s="183" t="s">
        <v>194</v>
      </c>
      <c r="C16" s="178">
        <v>24889122.219999999</v>
      </c>
      <c r="D16" s="178">
        <v>6500000</v>
      </c>
      <c r="E16" s="101">
        <v>1896613.84</v>
      </c>
      <c r="F16" s="102">
        <v>6200000</v>
      </c>
      <c r="H16" s="371"/>
      <c r="I16" s="171"/>
      <c r="J16" s="171"/>
      <c r="K16" s="171"/>
      <c r="L16" s="171"/>
      <c r="M16" s="171"/>
      <c r="N16" s="171"/>
    </row>
    <row r="17" spans="1:14" ht="14.1" customHeight="1" x14ac:dyDescent="0.2">
      <c r="B17" s="183" t="s">
        <v>195</v>
      </c>
      <c r="C17" s="178">
        <v>574283.29</v>
      </c>
      <c r="D17" s="178">
        <v>8020000</v>
      </c>
      <c r="E17" s="101">
        <v>3723892.43</v>
      </c>
      <c r="F17" s="102">
        <v>1247892</v>
      </c>
      <c r="H17" s="371"/>
      <c r="I17" s="171"/>
      <c r="J17" s="171"/>
      <c r="K17" s="171"/>
      <c r="L17" s="171"/>
      <c r="M17" s="171"/>
      <c r="N17" s="171"/>
    </row>
    <row r="18" spans="1:14" ht="14.1" customHeight="1" x14ac:dyDescent="0.2">
      <c r="B18" s="183" t="s">
        <v>196</v>
      </c>
      <c r="C18" s="178">
        <v>-6273327.6799999997</v>
      </c>
      <c r="D18" s="178">
        <v>-16344846.68</v>
      </c>
      <c r="E18" s="178">
        <f>-PyG!E48</f>
        <v>-9123990</v>
      </c>
      <c r="F18" s="179">
        <f>-PyG!F48</f>
        <v>-5996421.0700000003</v>
      </c>
      <c r="H18" s="371"/>
      <c r="I18" s="171"/>
      <c r="J18" s="171"/>
      <c r="K18" s="171"/>
      <c r="L18" s="171"/>
      <c r="M18" s="171"/>
      <c r="N18" s="171"/>
    </row>
    <row r="19" spans="1:14" ht="14.1" customHeight="1" x14ac:dyDescent="0.2">
      <c r="B19" s="188" t="s">
        <v>197</v>
      </c>
      <c r="C19" s="178">
        <v>-12608502.57</v>
      </c>
      <c r="D19" s="178">
        <v>-24800543.600000001</v>
      </c>
      <c r="E19" s="178">
        <f>-PyG!E52</f>
        <v>-6753537.4900000002</v>
      </c>
      <c r="F19" s="179">
        <f>-PyG!F52</f>
        <v>-10464076.02</v>
      </c>
      <c r="H19" s="371"/>
      <c r="I19" s="171"/>
      <c r="J19" s="171"/>
      <c r="K19" s="171"/>
      <c r="L19" s="171"/>
      <c r="M19" s="171"/>
      <c r="N19" s="171"/>
    </row>
    <row r="20" spans="1:14" ht="14.1" customHeight="1" x14ac:dyDescent="0.2">
      <c r="A20" s="182"/>
      <c r="B20" s="188" t="s">
        <v>198</v>
      </c>
      <c r="C20" s="178">
        <f>-PyG!C75</f>
        <v>0</v>
      </c>
      <c r="D20" s="178">
        <v>0</v>
      </c>
      <c r="E20" s="178">
        <f>-PyG!E75</f>
        <v>0</v>
      </c>
      <c r="F20" s="179">
        <f>-PyG!F75</f>
        <v>0</v>
      </c>
      <c r="H20" s="371"/>
      <c r="I20" s="171"/>
      <c r="J20" s="171"/>
      <c r="K20" s="171"/>
      <c r="L20" s="171"/>
      <c r="M20" s="171"/>
      <c r="N20" s="171"/>
    </row>
    <row r="21" spans="1:14" ht="14.1" customHeight="1" x14ac:dyDescent="0.2">
      <c r="A21" s="182"/>
      <c r="B21" s="183" t="s">
        <v>199</v>
      </c>
      <c r="C21" s="178">
        <f>-PyG!C57</f>
        <v>-822338.8</v>
      </c>
      <c r="D21" s="178">
        <v>-900000</v>
      </c>
      <c r="E21" s="178">
        <f>-PyG!E57</f>
        <v>-900000</v>
      </c>
      <c r="F21" s="179">
        <f>-PyG!F57</f>
        <v>-900000</v>
      </c>
      <c r="H21" s="371"/>
      <c r="I21" s="171"/>
      <c r="J21" s="171"/>
      <c r="K21" s="171"/>
      <c r="L21" s="171"/>
      <c r="M21" s="171"/>
      <c r="N21" s="171"/>
    </row>
    <row r="22" spans="1:14" ht="14.1" customHeight="1" x14ac:dyDescent="0.2">
      <c r="A22" s="182"/>
      <c r="B22" s="183" t="s">
        <v>200</v>
      </c>
      <c r="C22" s="178">
        <f>-PyG!C65</f>
        <v>21668341.629999999</v>
      </c>
      <c r="D22" s="178">
        <v>34000000</v>
      </c>
      <c r="E22" s="178">
        <f>-PyG!E65</f>
        <v>28984558</v>
      </c>
      <c r="F22" s="179">
        <f>-PyG!F65</f>
        <v>28000000</v>
      </c>
    </row>
    <row r="23" spans="1:14" ht="14.1" customHeight="1" x14ac:dyDescent="0.2">
      <c r="B23" s="183" t="s">
        <v>201</v>
      </c>
      <c r="C23" s="178">
        <f>-PyG!C72</f>
        <v>0</v>
      </c>
      <c r="D23" s="178">
        <v>0</v>
      </c>
      <c r="E23" s="178">
        <f>-PyG!E72</f>
        <v>0</v>
      </c>
      <c r="F23" s="179">
        <f>-PyG!F72</f>
        <v>0</v>
      </c>
    </row>
    <row r="24" spans="1:14" ht="14.1" customHeight="1" x14ac:dyDescent="0.2">
      <c r="B24" s="183" t="s">
        <v>202</v>
      </c>
      <c r="C24" s="178">
        <v>-1776927.1</v>
      </c>
      <c r="D24" s="178">
        <v>0</v>
      </c>
      <c r="E24" s="178">
        <f>-PyG!E69</f>
        <v>0</v>
      </c>
      <c r="F24" s="179">
        <f>-PyG!F69</f>
        <v>0</v>
      </c>
    </row>
    <row r="25" spans="1:14" ht="14.1" customHeight="1" x14ac:dyDescent="0.2">
      <c r="B25" s="183" t="s">
        <v>203</v>
      </c>
      <c r="C25" s="178"/>
      <c r="D25" s="178"/>
      <c r="E25" s="101"/>
      <c r="F25" s="102"/>
      <c r="G25" s="423" t="s">
        <v>440</v>
      </c>
      <c r="H25" s="423" t="s">
        <v>449</v>
      </c>
    </row>
    <row r="26" spans="1:14" ht="14.1" customHeight="1" x14ac:dyDescent="0.2">
      <c r="B26" s="233" t="s">
        <v>204</v>
      </c>
      <c r="C26" s="178">
        <f t="shared" ref="C26:H26" si="0">SUM(C27:C32)</f>
        <v>4660614.6399999987</v>
      </c>
      <c r="D26" s="178">
        <v>-43098445</v>
      </c>
      <c r="E26" s="178">
        <f t="shared" si="0"/>
        <v>42435581</v>
      </c>
      <c r="F26" s="179">
        <f t="shared" si="0"/>
        <v>58541580</v>
      </c>
      <c r="G26" s="426">
        <f t="shared" si="0"/>
        <v>18360505.350000083</v>
      </c>
      <c r="H26" s="425">
        <f t="shared" si="0"/>
        <v>50996635.940000027</v>
      </c>
    </row>
    <row r="27" spans="1:14" ht="14.1" customHeight="1" x14ac:dyDescent="0.2">
      <c r="B27" s="183" t="s">
        <v>209</v>
      </c>
      <c r="C27" s="178">
        <v>18245612.899999999</v>
      </c>
      <c r="D27" s="178">
        <v>-36041925</v>
      </c>
      <c r="E27" s="101">
        <f>40684944-1896614</f>
        <v>38788330</v>
      </c>
      <c r="F27" s="102">
        <f>47091982-2024406</f>
        <v>45067576</v>
      </c>
      <c r="G27" s="371">
        <f>BAL!E35-BAL!G35</f>
        <v>40684943.670000076</v>
      </c>
      <c r="H27" s="380">
        <f>BAL!G35-BAL!H35</f>
        <v>47091982.840000033</v>
      </c>
    </row>
    <row r="28" spans="1:14" ht="14.1" customHeight="1" x14ac:dyDescent="0.2">
      <c r="B28" s="195" t="s">
        <v>210</v>
      </c>
      <c r="C28" s="225">
        <v>-4219300.12</v>
      </c>
      <c r="D28" s="225">
        <v>11032009</v>
      </c>
      <c r="E28" s="226">
        <v>2643221</v>
      </c>
      <c r="F28" s="102">
        <v>15210613</v>
      </c>
      <c r="G28" s="371">
        <f>BAL!E42-BAL!G42</f>
        <v>2643221.0200000033</v>
      </c>
      <c r="H28" s="380">
        <f>BAL!G42-BAL!H42</f>
        <v>15210613</v>
      </c>
    </row>
    <row r="29" spans="1:14" ht="14.1" customHeight="1" x14ac:dyDescent="0.2">
      <c r="B29" s="195" t="s">
        <v>211</v>
      </c>
      <c r="C29" s="225">
        <v>-12869103.99</v>
      </c>
      <c r="D29" s="225"/>
      <c r="E29" s="226">
        <v>-1811741</v>
      </c>
      <c r="F29" s="102">
        <v>9569591</v>
      </c>
      <c r="G29" s="371">
        <f>BAL!E57-BAL!G57</f>
        <v>0</v>
      </c>
      <c r="H29" s="380">
        <f>BAL!G57-BAL!H57</f>
        <v>0</v>
      </c>
    </row>
    <row r="30" spans="1:14" ht="14.1" customHeight="1" x14ac:dyDescent="0.2">
      <c r="B30" s="195" t="s">
        <v>212</v>
      </c>
      <c r="C30" s="225">
        <v>16473130.470000001</v>
      </c>
      <c r="D30" s="225">
        <v>-18088529</v>
      </c>
      <c r="E30" s="226">
        <f>2865771-50000</f>
        <v>2815771</v>
      </c>
      <c r="F30" s="102">
        <v>-11306200</v>
      </c>
      <c r="G30" s="371">
        <f>BAL!L60-BAL!J60</f>
        <v>-24909266.879999995</v>
      </c>
      <c r="H30" s="380">
        <f>BAL!M60-BAL!L60</f>
        <v>-11305959.900000006</v>
      </c>
    </row>
    <row r="31" spans="1:14" ht="14.1" customHeight="1" x14ac:dyDescent="0.2">
      <c r="B31" s="195" t="s">
        <v>213</v>
      </c>
      <c r="C31" s="225">
        <v>-12969724.619999999</v>
      </c>
      <c r="D31" s="225"/>
      <c r="E31" s="226"/>
      <c r="F31" s="102"/>
      <c r="G31" s="371">
        <f>(BAL!L59+BAL!L68)-(BAL!J59+BAL!J68)</f>
        <v>-58392.46</v>
      </c>
      <c r="H31" s="380">
        <f>(BAL!M59+BAL!M68)-(BAL!L59+BAL!L68)</f>
        <v>0</v>
      </c>
    </row>
    <row r="32" spans="1:14" ht="14.1" customHeight="1" x14ac:dyDescent="0.2">
      <c r="B32" s="195" t="s">
        <v>214</v>
      </c>
      <c r="C32" s="225"/>
      <c r="D32" s="225"/>
      <c r="E32" s="226"/>
      <c r="F32" s="102"/>
      <c r="G32" s="382">
        <f>(BAL!E34-BAL!G34)+(BAL!L52-BAL!J52)</f>
        <v>0</v>
      </c>
      <c r="H32" s="424">
        <f>(BAL!G34-BAL!H34)+(BAL!M52-BAL!L52)</f>
        <v>0</v>
      </c>
    </row>
    <row r="33" spans="2:8" ht="14.1" customHeight="1" x14ac:dyDescent="0.2">
      <c r="B33" s="234" t="s">
        <v>215</v>
      </c>
      <c r="C33" s="225">
        <f>SUM(C34:C38)</f>
        <v>-20846002.829999998</v>
      </c>
      <c r="D33" s="225">
        <v>-33100000</v>
      </c>
      <c r="E33" s="225">
        <f>SUM(E34:E38)</f>
        <v>-29133556</v>
      </c>
      <c r="F33" s="179">
        <f>SUM(F34:F38)</f>
        <v>-27612000</v>
      </c>
    </row>
    <row r="34" spans="2:8" ht="14.1" customHeight="1" x14ac:dyDescent="0.2">
      <c r="B34" s="195" t="s">
        <v>259</v>
      </c>
      <c r="C34" s="225">
        <v>-21668341.629999999</v>
      </c>
      <c r="D34" s="225">
        <v>-34000000</v>
      </c>
      <c r="E34" s="226">
        <f>-28984558-1024327</f>
        <v>-30008885</v>
      </c>
      <c r="F34" s="102">
        <f>-28000000-500000</f>
        <v>-28500000</v>
      </c>
    </row>
    <row r="35" spans="2:8" ht="14.1" customHeight="1" x14ac:dyDescent="0.2">
      <c r="B35" s="195" t="s">
        <v>260</v>
      </c>
      <c r="C35" s="225">
        <v>822338.8</v>
      </c>
      <c r="D35" s="225"/>
      <c r="E35" s="226"/>
      <c r="F35" s="102"/>
    </row>
    <row r="36" spans="2:8" ht="14.1" customHeight="1" x14ac:dyDescent="0.2">
      <c r="B36" s="195" t="s">
        <v>261</v>
      </c>
      <c r="C36" s="225"/>
      <c r="D36" s="225">
        <v>900000</v>
      </c>
      <c r="E36" s="226">
        <v>900000</v>
      </c>
      <c r="F36" s="102">
        <v>900000</v>
      </c>
    </row>
    <row r="37" spans="2:8" ht="14.1" customHeight="1" x14ac:dyDescent="0.2">
      <c r="B37" s="195" t="s">
        <v>216</v>
      </c>
      <c r="C37" s="418"/>
      <c r="D37" s="418">
        <v>0</v>
      </c>
      <c r="E37" s="418">
        <f>-(PyG!E91+PyG!E92)</f>
        <v>-24671</v>
      </c>
      <c r="F37" s="267">
        <f>-(PyG!F91+PyG!F92)</f>
        <v>-12000</v>
      </c>
    </row>
    <row r="38" spans="2:8" ht="14.1" customHeight="1" x14ac:dyDescent="0.2">
      <c r="B38" s="195" t="s">
        <v>384</v>
      </c>
      <c r="C38" s="418"/>
      <c r="D38" s="418"/>
      <c r="E38" s="262"/>
      <c r="F38" s="241"/>
    </row>
    <row r="39" spans="2:8" ht="14.1" customHeight="1" x14ac:dyDescent="0.2">
      <c r="B39" s="258" t="s">
        <v>226</v>
      </c>
      <c r="C39" s="243">
        <f>C13+C14+C26+C33</f>
        <v>-8576773.4799999837</v>
      </c>
      <c r="D39" s="243">
        <v>-61823835.25999999</v>
      </c>
      <c r="E39" s="243">
        <f>E13+E14+E26+E33</f>
        <v>28458760.589999996</v>
      </c>
      <c r="F39" s="244">
        <f>F13+F14+F26+F33</f>
        <v>57816790.599999994</v>
      </c>
    </row>
    <row r="40" spans="2:8" ht="14.1" customHeight="1" x14ac:dyDescent="0.2">
      <c r="B40" s="234"/>
      <c r="C40" s="256"/>
      <c r="D40" s="256"/>
      <c r="E40" s="256"/>
      <c r="F40" s="265"/>
    </row>
    <row r="41" spans="2:8" ht="14.1" customHeight="1" x14ac:dyDescent="0.2">
      <c r="B41" s="257" t="s">
        <v>217</v>
      </c>
      <c r="C41" s="225"/>
      <c r="D41" s="225"/>
      <c r="E41" s="225"/>
      <c r="F41" s="179"/>
      <c r="G41" s="423" t="str">
        <f>G25</f>
        <v>ESTIMADO 2012</v>
      </c>
      <c r="H41" s="423" t="str">
        <f>H25</f>
        <v>PRESUP. 2013</v>
      </c>
    </row>
    <row r="42" spans="2:8" ht="14.1" customHeight="1" x14ac:dyDescent="0.2">
      <c r="B42" s="234" t="s">
        <v>218</v>
      </c>
      <c r="C42" s="225">
        <f>SUM(C43:C48)</f>
        <v>-9249762.4199999999</v>
      </c>
      <c r="D42" s="225">
        <v>-32148864</v>
      </c>
      <c r="E42" s="225">
        <f>SUM(E43:E48)</f>
        <v>-7060785</v>
      </c>
      <c r="F42" s="179">
        <f>SUM(F43:F48)</f>
        <v>-13316155</v>
      </c>
    </row>
    <row r="43" spans="2:8" ht="14.1" customHeight="1" x14ac:dyDescent="0.2">
      <c r="B43" s="195" t="s">
        <v>219</v>
      </c>
      <c r="C43" s="225"/>
      <c r="D43" s="225">
        <v>-1070000</v>
      </c>
      <c r="E43" s="226"/>
      <c r="F43" s="102">
        <v>-925000</v>
      </c>
      <c r="G43" s="426">
        <f>-PAIF!D12</f>
        <v>0</v>
      </c>
      <c r="H43" s="425">
        <f>-PAIF!E12</f>
        <v>-925000</v>
      </c>
    </row>
    <row r="44" spans="2:8" ht="14.1" customHeight="1" x14ac:dyDescent="0.2">
      <c r="B44" s="195" t="s">
        <v>220</v>
      </c>
      <c r="C44" s="225">
        <v>-18674.54</v>
      </c>
      <c r="D44" s="225">
        <v>-24582107</v>
      </c>
      <c r="E44" s="226">
        <v>-5604770</v>
      </c>
      <c r="F44" s="102"/>
      <c r="G44" s="371">
        <f>-PAIF!D17</f>
        <v>-5604770</v>
      </c>
      <c r="H44" s="380">
        <f>-PAIF!E17</f>
        <v>0</v>
      </c>
    </row>
    <row r="45" spans="2:8" ht="13.5" customHeight="1" x14ac:dyDescent="0.2">
      <c r="B45" s="195" t="s">
        <v>221</v>
      </c>
      <c r="C45" s="225">
        <v>-9231087.8800000008</v>
      </c>
      <c r="D45" s="225">
        <v>-5276757</v>
      </c>
      <c r="E45" s="226"/>
      <c r="F45" s="102">
        <v>-8266215</v>
      </c>
      <c r="G45" s="371">
        <f>-PAIF!D23</f>
        <v>-6246490.8899999997</v>
      </c>
      <c r="H45" s="380">
        <f>-PAIF!E23</f>
        <v>-8266215</v>
      </c>
    </row>
    <row r="46" spans="2:8" ht="13.5" customHeight="1" x14ac:dyDescent="0.2">
      <c r="B46" s="195" t="s">
        <v>222</v>
      </c>
      <c r="C46" s="225"/>
      <c r="D46" s="225">
        <v>-1200000</v>
      </c>
      <c r="E46" s="226">
        <v>-1436015</v>
      </c>
      <c r="F46" s="102">
        <v>-4124940</v>
      </c>
      <c r="G46" s="382">
        <f>-PAIF!D26</f>
        <v>-1472108</v>
      </c>
      <c r="H46" s="424">
        <f>-PAIF!E26</f>
        <v>-4104940</v>
      </c>
    </row>
    <row r="47" spans="2:8" ht="13.5" customHeight="1" x14ac:dyDescent="0.2">
      <c r="B47" s="195" t="s">
        <v>223</v>
      </c>
      <c r="C47" s="225"/>
      <c r="D47" s="225"/>
      <c r="E47" s="226"/>
      <c r="F47" s="102"/>
    </row>
    <row r="48" spans="2:8" ht="13.5" customHeight="1" x14ac:dyDescent="0.2">
      <c r="B48" s="195" t="s">
        <v>224</v>
      </c>
      <c r="C48" s="225"/>
      <c r="D48" s="225">
        <v>-20000</v>
      </c>
      <c r="E48" s="226">
        <v>-20000</v>
      </c>
      <c r="F48" s="102"/>
    </row>
    <row r="49" spans="2:8" ht="13.5" customHeight="1" x14ac:dyDescent="0.2">
      <c r="B49" s="234" t="s">
        <v>229</v>
      </c>
      <c r="C49" s="178">
        <f>SUM(C50:C55)</f>
        <v>42798290.920000002</v>
      </c>
      <c r="D49" s="178">
        <v>56867402</v>
      </c>
      <c r="E49" s="178">
        <f>SUM(E50:E55)</f>
        <v>13124538</v>
      </c>
      <c r="F49" s="179">
        <f>SUM(F50:F55)</f>
        <v>27873398</v>
      </c>
    </row>
    <row r="50" spans="2:8" ht="13.5" customHeight="1" x14ac:dyDescent="0.2">
      <c r="B50" s="195" t="s">
        <v>219</v>
      </c>
      <c r="C50" s="225"/>
      <c r="D50" s="225"/>
      <c r="E50" s="226"/>
      <c r="F50" s="102"/>
      <c r="G50" s="426">
        <f>PAIF!H40</f>
        <v>0</v>
      </c>
      <c r="H50" s="425">
        <f>PAIF!I40</f>
        <v>0</v>
      </c>
    </row>
    <row r="51" spans="2:8" ht="13.5" customHeight="1" x14ac:dyDescent="0.2">
      <c r="B51" s="195" t="s">
        <v>220</v>
      </c>
      <c r="C51" s="225"/>
      <c r="D51" s="225"/>
      <c r="E51" s="226"/>
      <c r="F51" s="102">
        <v>22436220</v>
      </c>
      <c r="G51" s="371">
        <f>PAIF!H41</f>
        <v>0</v>
      </c>
      <c r="H51" s="380">
        <f>PAIF!I41</f>
        <v>21058073</v>
      </c>
    </row>
    <row r="52" spans="2:8" ht="13.5" customHeight="1" x14ac:dyDescent="0.2">
      <c r="B52" s="195" t="s">
        <v>221</v>
      </c>
      <c r="C52" s="225">
        <v>37241321.340000004</v>
      </c>
      <c r="D52" s="225">
        <v>56867402</v>
      </c>
      <c r="E52" s="226">
        <f>12799808+226927+97803</f>
        <v>13124538</v>
      </c>
      <c r="F52" s="102">
        <f>5137178+300000</f>
        <v>5437178</v>
      </c>
      <c r="G52" s="371">
        <f>PAIF!H42</f>
        <v>26867969.32</v>
      </c>
      <c r="H52" s="380">
        <f>PAIF!I42</f>
        <v>29794524.800000001</v>
      </c>
    </row>
    <row r="53" spans="2:8" ht="13.5" customHeight="1" x14ac:dyDescent="0.2">
      <c r="B53" s="195" t="s">
        <v>222</v>
      </c>
      <c r="C53" s="225">
        <v>5556969.5800000001</v>
      </c>
      <c r="D53" s="225"/>
      <c r="E53" s="226"/>
      <c r="F53" s="102"/>
      <c r="G53" s="371">
        <f>PAIF!H43</f>
        <v>0</v>
      </c>
      <c r="H53" s="380">
        <f>PAIF!I43</f>
        <v>0</v>
      </c>
    </row>
    <row r="54" spans="2:8" ht="13.5" customHeight="1" x14ac:dyDescent="0.2">
      <c r="B54" s="195" t="s">
        <v>223</v>
      </c>
      <c r="C54" s="225"/>
      <c r="D54" s="225"/>
      <c r="E54" s="226"/>
      <c r="F54" s="102"/>
      <c r="G54" s="382">
        <f>PAIF!H44+PAIF!H45</f>
        <v>0</v>
      </c>
      <c r="H54" s="424">
        <f>PAIF!I44+PAIF!I45</f>
        <v>0</v>
      </c>
    </row>
    <row r="55" spans="2:8" ht="13.5" customHeight="1" x14ac:dyDescent="0.2">
      <c r="B55" s="195" t="s">
        <v>224</v>
      </c>
      <c r="C55" s="225"/>
      <c r="D55" s="225"/>
      <c r="E55" s="226"/>
      <c r="F55" s="102"/>
    </row>
    <row r="56" spans="2:8" ht="14.1" customHeight="1" x14ac:dyDescent="0.2">
      <c r="B56" s="258" t="s">
        <v>225</v>
      </c>
      <c r="C56" s="243">
        <f>C42+C49</f>
        <v>33548528.5</v>
      </c>
      <c r="D56" s="243">
        <v>24718538</v>
      </c>
      <c r="E56" s="243">
        <f>E42+E49</f>
        <v>6063753</v>
      </c>
      <c r="F56" s="244">
        <f>F42+F49</f>
        <v>14557243</v>
      </c>
    </row>
    <row r="57" spans="2:8" ht="13.5" customHeight="1" x14ac:dyDescent="0.2">
      <c r="B57" s="234"/>
      <c r="C57" s="178"/>
      <c r="D57" s="178"/>
      <c r="E57" s="178"/>
      <c r="F57" s="179"/>
    </row>
    <row r="58" spans="2:8" ht="13.5" customHeight="1" x14ac:dyDescent="0.2">
      <c r="B58" s="257" t="s">
        <v>227</v>
      </c>
      <c r="C58" s="178"/>
      <c r="D58" s="178"/>
      <c r="E58" s="178"/>
      <c r="F58" s="179"/>
      <c r="G58" s="423" t="str">
        <f>G41</f>
        <v>ESTIMADO 2012</v>
      </c>
      <c r="H58" s="423" t="str">
        <f>H41</f>
        <v>PRESUP. 2013</v>
      </c>
    </row>
    <row r="59" spans="2:8" ht="13.5" customHeight="1" x14ac:dyDescent="0.2">
      <c r="B59" s="234" t="s">
        <v>228</v>
      </c>
      <c r="C59" s="178">
        <f>SUM(C60:C62)</f>
        <v>7468161.0199999996</v>
      </c>
      <c r="D59" s="178">
        <v>8477667</v>
      </c>
      <c r="E59" s="178">
        <f>SUM(E60:E62)</f>
        <v>8477667</v>
      </c>
      <c r="F59" s="179">
        <f>SUM(F60:F62)</f>
        <v>8399999</v>
      </c>
    </row>
    <row r="60" spans="2:8" ht="13.5" customHeight="1" x14ac:dyDescent="0.2">
      <c r="B60" s="195" t="s">
        <v>230</v>
      </c>
      <c r="C60" s="225"/>
      <c r="D60" s="225"/>
      <c r="E60" s="226"/>
      <c r="F60" s="102"/>
    </row>
    <row r="61" spans="2:8" ht="13.5" customHeight="1" x14ac:dyDescent="0.2">
      <c r="B61" s="195" t="s">
        <v>231</v>
      </c>
      <c r="C61" s="225"/>
      <c r="D61" s="225"/>
      <c r="E61" s="226"/>
      <c r="F61" s="102"/>
    </row>
    <row r="62" spans="2:8" ht="13.5" customHeight="1" x14ac:dyDescent="0.2">
      <c r="B62" s="195" t="s">
        <v>232</v>
      </c>
      <c r="C62" s="225">
        <v>7468161.0199999996</v>
      </c>
      <c r="D62" s="225">
        <v>8477667</v>
      </c>
      <c r="E62" s="226">
        <f>8477667</f>
        <v>8477667</v>
      </c>
      <c r="F62" s="102">
        <v>8399999</v>
      </c>
      <c r="G62" s="463">
        <f>PAIF!H29</f>
        <v>8477667</v>
      </c>
      <c r="H62" s="457">
        <f>PAIF!I29</f>
        <v>8400000</v>
      </c>
    </row>
    <row r="63" spans="2:8" ht="13.5" customHeight="1" x14ac:dyDescent="0.2">
      <c r="B63" s="234" t="s">
        <v>233</v>
      </c>
      <c r="C63" s="178">
        <f>C64+C68</f>
        <v>-21845426.480000019</v>
      </c>
      <c r="D63" s="178">
        <v>40647791</v>
      </c>
      <c r="E63" s="178">
        <f>E64+E68</f>
        <v>-53443339</v>
      </c>
      <c r="F63" s="179">
        <f>F64+F68</f>
        <v>-80754111</v>
      </c>
    </row>
    <row r="64" spans="2:8" ht="13.5" customHeight="1" x14ac:dyDescent="0.2">
      <c r="B64" s="195" t="s">
        <v>234</v>
      </c>
      <c r="C64" s="178">
        <f>SUM(C65:C67)</f>
        <v>135264128.16999999</v>
      </c>
      <c r="D64" s="178">
        <v>143262154</v>
      </c>
      <c r="E64" s="178">
        <f>SUM(E65:E67)</f>
        <v>95217252</v>
      </c>
      <c r="F64" s="179">
        <f>SUM(F65:F67)</f>
        <v>54163572</v>
      </c>
    </row>
    <row r="65" spans="2:6" ht="13.5" customHeight="1" x14ac:dyDescent="0.2">
      <c r="B65" s="195" t="s">
        <v>276</v>
      </c>
      <c r="C65" s="225">
        <v>135264128.16999999</v>
      </c>
      <c r="D65" s="225">
        <v>143262154</v>
      </c>
      <c r="E65" s="226">
        <v>95217252</v>
      </c>
      <c r="F65" s="102">
        <v>54163572</v>
      </c>
    </row>
    <row r="66" spans="2:6" ht="13.5" customHeight="1" x14ac:dyDescent="0.2">
      <c r="B66" s="195" t="s">
        <v>352</v>
      </c>
      <c r="C66" s="225"/>
      <c r="D66" s="225"/>
      <c r="E66" s="226"/>
      <c r="F66" s="102"/>
    </row>
    <row r="67" spans="2:6" ht="13.5" customHeight="1" x14ac:dyDescent="0.2">
      <c r="B67" s="195" t="s">
        <v>262</v>
      </c>
      <c r="C67" s="225"/>
      <c r="D67" s="225"/>
      <c r="E67" s="226"/>
      <c r="F67" s="102"/>
    </row>
    <row r="68" spans="2:6" ht="13.5" customHeight="1" x14ac:dyDescent="0.2">
      <c r="B68" s="195" t="s">
        <v>235</v>
      </c>
      <c r="C68" s="178">
        <f>SUM(C69:C71)</f>
        <v>-157109554.65000001</v>
      </c>
      <c r="D68" s="178">
        <v>-102614363</v>
      </c>
      <c r="E68" s="178">
        <f>SUM(E69:E71)</f>
        <v>-148660591</v>
      </c>
      <c r="F68" s="179">
        <f>SUM(F69:F71)</f>
        <v>-134917683</v>
      </c>
    </row>
    <row r="69" spans="2:6" ht="13.5" customHeight="1" x14ac:dyDescent="0.2">
      <c r="B69" s="195" t="s">
        <v>276</v>
      </c>
      <c r="C69" s="225">
        <v>-157109554.65000001</v>
      </c>
      <c r="D69" s="225">
        <v>-101461054</v>
      </c>
      <c r="E69" s="226">
        <v>-147609967</v>
      </c>
      <c r="F69" s="102">
        <v>-133983056</v>
      </c>
    </row>
    <row r="70" spans="2:6" ht="13.5" customHeight="1" x14ac:dyDescent="0.2">
      <c r="B70" s="195" t="s">
        <v>352</v>
      </c>
      <c r="C70" s="225"/>
      <c r="D70" s="225"/>
      <c r="E70" s="226"/>
      <c r="F70" s="102"/>
    </row>
    <row r="71" spans="2:6" ht="13.5" customHeight="1" x14ac:dyDescent="0.2">
      <c r="B71" s="195" t="s">
        <v>262</v>
      </c>
      <c r="C71" s="225"/>
      <c r="D71" s="225">
        <v>-1153309</v>
      </c>
      <c r="E71" s="226">
        <v>-1050624</v>
      </c>
      <c r="F71" s="102">
        <v>-934627</v>
      </c>
    </row>
    <row r="72" spans="2:6" ht="13.5" customHeight="1" x14ac:dyDescent="0.2">
      <c r="B72" s="234" t="s">
        <v>236</v>
      </c>
      <c r="C72" s="178">
        <f>SUM(C73:C74)</f>
        <v>0</v>
      </c>
      <c r="D72" s="178">
        <v>0</v>
      </c>
      <c r="E72" s="178">
        <f>SUM(E73:E74)</f>
        <v>0</v>
      </c>
      <c r="F72" s="179">
        <f>SUM(F73:F74)</f>
        <v>0</v>
      </c>
    </row>
    <row r="73" spans="2:6" ht="13.5" customHeight="1" x14ac:dyDescent="0.2">
      <c r="B73" s="195" t="s">
        <v>237</v>
      </c>
      <c r="C73" s="225"/>
      <c r="D73" s="225"/>
      <c r="E73" s="226"/>
      <c r="F73" s="102"/>
    </row>
    <row r="74" spans="2:6" ht="13.5" customHeight="1" x14ac:dyDescent="0.2">
      <c r="B74" s="195" t="s">
        <v>238</v>
      </c>
      <c r="C74" s="225"/>
      <c r="D74" s="225"/>
      <c r="E74" s="226"/>
      <c r="F74" s="102"/>
    </row>
    <row r="75" spans="2:6" ht="14.1" customHeight="1" x14ac:dyDescent="0.2">
      <c r="B75" s="258" t="s">
        <v>239</v>
      </c>
      <c r="C75" s="243">
        <f>C59+C63+C72</f>
        <v>-14377265.46000002</v>
      </c>
      <c r="D75" s="243">
        <v>49125458</v>
      </c>
      <c r="E75" s="243">
        <f>E59+E63+E72</f>
        <v>-44965672</v>
      </c>
      <c r="F75" s="244">
        <f>F59+F63+F72</f>
        <v>-72354112</v>
      </c>
    </row>
    <row r="76" spans="2:6" ht="13.5" customHeight="1" x14ac:dyDescent="0.2">
      <c r="B76" s="195"/>
      <c r="C76" s="266"/>
      <c r="D76" s="266"/>
      <c r="E76" s="266"/>
      <c r="F76" s="267"/>
    </row>
    <row r="77" spans="2:6" ht="13.5" customHeight="1" x14ac:dyDescent="0.2">
      <c r="B77" s="260" t="s">
        <v>240</v>
      </c>
      <c r="C77" s="243"/>
      <c r="D77" s="243"/>
      <c r="E77" s="263"/>
      <c r="F77" s="264"/>
    </row>
    <row r="78" spans="2:6" ht="13.5" customHeight="1" x14ac:dyDescent="0.2">
      <c r="B78" s="195"/>
      <c r="C78" s="237"/>
      <c r="D78" s="237"/>
      <c r="E78" s="237"/>
      <c r="F78" s="248"/>
    </row>
    <row r="79" spans="2:6" ht="33" customHeight="1" x14ac:dyDescent="0.2">
      <c r="B79" s="259" t="s">
        <v>241</v>
      </c>
      <c r="C79" s="268">
        <f>C39+C56+C75+C77</f>
        <v>10594489.559999999</v>
      </c>
      <c r="D79" s="268">
        <v>12020160</v>
      </c>
      <c r="E79" s="268">
        <f>E39+E56+E75+E77</f>
        <v>-10443158.410000004</v>
      </c>
      <c r="F79" s="269">
        <f>F39+F56+F75+F77</f>
        <v>19921.59999999404</v>
      </c>
    </row>
    <row r="80" spans="2:6" ht="13.5" customHeight="1" x14ac:dyDescent="0.2">
      <c r="B80" s="234" t="s">
        <v>263</v>
      </c>
      <c r="C80" s="276">
        <v>15287910.859999999</v>
      </c>
      <c r="D80" s="276">
        <v>23439243</v>
      </c>
      <c r="E80" s="276">
        <f>BAL!E58</f>
        <v>25882400.420000002</v>
      </c>
      <c r="F80" s="265">
        <f>E81</f>
        <v>15439242</v>
      </c>
    </row>
    <row r="81" spans="2:8" ht="13.5" customHeight="1" thickBot="1" x14ac:dyDescent="0.25">
      <c r="B81" s="261" t="s">
        <v>264</v>
      </c>
      <c r="C81" s="339">
        <f>BAL!E58</f>
        <v>25882400.420000002</v>
      </c>
      <c r="D81" s="339">
        <v>35459403</v>
      </c>
      <c r="E81" s="339">
        <f>BAL!G58</f>
        <v>15439242</v>
      </c>
      <c r="F81" s="277">
        <f>BAL!H58</f>
        <v>15459403.32</v>
      </c>
    </row>
    <row r="82" spans="2:8" ht="14.1" customHeight="1" x14ac:dyDescent="0.2">
      <c r="C82" s="254"/>
      <c r="D82" s="254"/>
      <c r="E82" s="254"/>
      <c r="F82" s="254"/>
    </row>
    <row r="83" spans="2:8" s="199" customFormat="1" ht="14.1" customHeight="1" x14ac:dyDescent="0.2">
      <c r="G83" s="420"/>
      <c r="H83" s="420"/>
    </row>
    <row r="84" spans="2:8" s="199" customFormat="1" ht="14.1" customHeight="1" x14ac:dyDescent="0.2">
      <c r="G84" s="420"/>
      <c r="H84" s="420"/>
    </row>
    <row r="85" spans="2:8" s="199" customFormat="1" ht="14.1" customHeight="1" x14ac:dyDescent="0.2">
      <c r="G85" s="420"/>
      <c r="H85" s="420"/>
    </row>
    <row r="86" spans="2:8" s="199" customFormat="1" ht="14.1" customHeight="1" x14ac:dyDescent="0.2">
      <c r="G86" s="420"/>
      <c r="H86" s="420"/>
    </row>
    <row r="87" spans="2:8" s="199" customFormat="1" ht="14.1" customHeight="1" x14ac:dyDescent="0.2">
      <c r="G87" s="420"/>
      <c r="H87" s="420"/>
    </row>
    <row r="88" spans="2:8" s="199" customFormat="1" ht="14.1" customHeight="1" x14ac:dyDescent="0.2">
      <c r="G88" s="420"/>
      <c r="H88" s="420"/>
    </row>
    <row r="89" spans="2:8" s="199" customFormat="1" ht="14.1" customHeight="1" x14ac:dyDescent="0.2">
      <c r="G89" s="420"/>
      <c r="H89" s="420"/>
    </row>
    <row r="90" spans="2:8" s="199" customFormat="1" ht="14.1" customHeight="1" x14ac:dyDescent="0.2">
      <c r="G90" s="420"/>
      <c r="H90" s="420"/>
    </row>
    <row r="91" spans="2:8" s="199" customFormat="1" ht="14.1" customHeight="1" x14ac:dyDescent="0.2">
      <c r="G91" s="420"/>
      <c r="H91" s="420"/>
    </row>
    <row r="92" spans="2:8" s="199" customFormat="1" ht="14.1" customHeight="1" x14ac:dyDescent="0.2">
      <c r="G92" s="420"/>
      <c r="H92" s="420"/>
    </row>
    <row r="93" spans="2:8" s="199" customFormat="1" ht="14.1" customHeight="1" x14ac:dyDescent="0.2">
      <c r="G93" s="420"/>
      <c r="H93" s="420"/>
    </row>
    <row r="94" spans="2:8" s="199" customFormat="1" ht="14.1" customHeight="1" x14ac:dyDescent="0.2">
      <c r="G94" s="420"/>
      <c r="H94" s="420"/>
    </row>
    <row r="95" spans="2:8" s="199" customFormat="1" ht="14.1" customHeight="1" x14ac:dyDescent="0.2">
      <c r="G95" s="420"/>
      <c r="H95" s="420"/>
    </row>
    <row r="96" spans="2:8" s="199" customFormat="1" ht="14.1" customHeight="1" x14ac:dyDescent="0.2">
      <c r="G96" s="420"/>
      <c r="H96" s="420"/>
    </row>
    <row r="97" spans="7:8" s="199" customFormat="1" ht="14.1" customHeight="1" x14ac:dyDescent="0.2">
      <c r="G97" s="420"/>
      <c r="H97" s="420"/>
    </row>
    <row r="98" spans="7:8" s="199" customFormat="1" ht="14.1" customHeight="1" x14ac:dyDescent="0.2">
      <c r="G98" s="420"/>
      <c r="H98" s="420"/>
    </row>
    <row r="99" spans="7:8" ht="14.1" customHeight="1" x14ac:dyDescent="0.2"/>
    <row r="100" spans="7:8" ht="14.1" customHeight="1" x14ac:dyDescent="0.2"/>
    <row r="101" spans="7:8" ht="14.1" customHeight="1" x14ac:dyDescent="0.2"/>
    <row r="102" spans="7:8" ht="14.1" customHeight="1" x14ac:dyDescent="0.2"/>
    <row r="103" spans="7:8" ht="14.1" customHeight="1" x14ac:dyDescent="0.2"/>
    <row r="104" spans="7:8" ht="14.1" customHeight="1" x14ac:dyDescent="0.2"/>
    <row r="105" spans="7:8" ht="14.1" customHeight="1" x14ac:dyDescent="0.2"/>
    <row r="106" spans="7:8" ht="14.1" customHeight="1" x14ac:dyDescent="0.2"/>
    <row r="107" spans="7:8" ht="14.1" customHeight="1" x14ac:dyDescent="0.2"/>
    <row r="108" spans="7:8" ht="14.1" customHeight="1" x14ac:dyDescent="0.2"/>
    <row r="109" spans="7:8" ht="14.1" customHeight="1" x14ac:dyDescent="0.2"/>
    <row r="110" spans="7:8" ht="14.1" customHeight="1" x14ac:dyDescent="0.2"/>
    <row r="111" spans="7:8" ht="14.1" customHeight="1" x14ac:dyDescent="0.2"/>
    <row r="112" spans="7:8"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row r="219" ht="14.1" customHeight="1" x14ac:dyDescent="0.2"/>
    <row r="220" ht="14.1" customHeight="1" x14ac:dyDescent="0.2"/>
    <row r="221" ht="14.1" customHeight="1" x14ac:dyDescent="0.2"/>
    <row r="222" ht="14.1" customHeight="1" x14ac:dyDescent="0.2"/>
    <row r="223" ht="14.1" customHeight="1" x14ac:dyDescent="0.2"/>
    <row r="224" ht="14.1" customHeight="1" x14ac:dyDescent="0.2"/>
    <row r="225" ht="14.1" customHeight="1" x14ac:dyDescent="0.2"/>
    <row r="226" ht="14.1" customHeight="1" x14ac:dyDescent="0.2"/>
    <row r="227" ht="14.1" customHeight="1" x14ac:dyDescent="0.2"/>
    <row r="228" ht="14.1" customHeight="1" x14ac:dyDescent="0.2"/>
    <row r="229" ht="14.1" customHeight="1"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4.1" customHeight="1" x14ac:dyDescent="0.2"/>
    <row r="244" ht="14.1" customHeight="1" x14ac:dyDescent="0.2"/>
    <row r="245" ht="14.1" customHeight="1" x14ac:dyDescent="0.2"/>
    <row r="246" ht="14.1" customHeight="1" x14ac:dyDescent="0.2"/>
    <row r="247" ht="14.1" customHeight="1" x14ac:dyDescent="0.2"/>
    <row r="248" ht="14.1" customHeight="1" x14ac:dyDescent="0.2"/>
    <row r="249" ht="14.1" customHeight="1" x14ac:dyDescent="0.2"/>
    <row r="250" ht="14.1" customHeight="1" x14ac:dyDescent="0.2"/>
    <row r="251" ht="14.1" customHeight="1" x14ac:dyDescent="0.2"/>
    <row r="252" ht="14.1" customHeight="1" x14ac:dyDescent="0.2"/>
    <row r="253" ht="14.1" customHeight="1" x14ac:dyDescent="0.2"/>
    <row r="254" ht="14.1" customHeight="1" x14ac:dyDescent="0.2"/>
    <row r="255" ht="14.1" customHeight="1" x14ac:dyDescent="0.2"/>
    <row r="256" ht="14.1" customHeight="1" x14ac:dyDescent="0.2"/>
    <row r="257" ht="14.1" customHeight="1" x14ac:dyDescent="0.2"/>
    <row r="258" ht="14.1" customHeight="1" x14ac:dyDescent="0.2"/>
    <row r="259" ht="14.1" customHeight="1" x14ac:dyDescent="0.2"/>
    <row r="260" ht="14.1" customHeight="1" x14ac:dyDescent="0.2"/>
    <row r="261" ht="14.1" customHeight="1" x14ac:dyDescent="0.2"/>
    <row r="262" ht="14.1" customHeight="1" x14ac:dyDescent="0.2"/>
    <row r="263" ht="14.1" customHeight="1" x14ac:dyDescent="0.2"/>
    <row r="264" ht="14.1" customHeight="1" x14ac:dyDescent="0.2"/>
    <row r="265" ht="14.1" customHeight="1" x14ac:dyDescent="0.2"/>
    <row r="266" ht="14.1" customHeight="1" x14ac:dyDescent="0.2"/>
    <row r="267" ht="14.1" customHeight="1" x14ac:dyDescent="0.2"/>
    <row r="268" ht="14.1" customHeight="1" x14ac:dyDescent="0.2"/>
    <row r="269" ht="14.1" customHeight="1" x14ac:dyDescent="0.2"/>
    <row r="270" ht="14.1" customHeight="1" x14ac:dyDescent="0.2"/>
    <row r="271" ht="14.1" customHeight="1" x14ac:dyDescent="0.2"/>
    <row r="272" ht="14.1" customHeight="1" x14ac:dyDescent="0.2"/>
    <row r="273" ht="14.1" customHeight="1" x14ac:dyDescent="0.2"/>
    <row r="274" ht="14.1" customHeight="1" x14ac:dyDescent="0.2"/>
    <row r="275" ht="14.1" customHeight="1" x14ac:dyDescent="0.2"/>
    <row r="276" ht="14.1" customHeight="1" x14ac:dyDescent="0.2"/>
    <row r="277" ht="14.1" customHeight="1" x14ac:dyDescent="0.2"/>
    <row r="278" ht="14.1" customHeight="1" x14ac:dyDescent="0.2"/>
    <row r="279" ht="14.1" customHeight="1" x14ac:dyDescent="0.2"/>
    <row r="280" ht="14.1" customHeight="1" x14ac:dyDescent="0.2"/>
    <row r="281" ht="14.1" customHeight="1" x14ac:dyDescent="0.2"/>
    <row r="282" ht="14.1" customHeight="1" x14ac:dyDescent="0.2"/>
    <row r="283" ht="14.1" customHeight="1" x14ac:dyDescent="0.2"/>
    <row r="284" ht="14.1" customHeight="1" x14ac:dyDescent="0.2"/>
    <row r="285" ht="14.1" customHeight="1" x14ac:dyDescent="0.2"/>
    <row r="286" ht="14.1" customHeight="1" x14ac:dyDescent="0.2"/>
    <row r="287" ht="14.1" customHeight="1" x14ac:dyDescent="0.2"/>
    <row r="288" ht="14.1" customHeight="1" x14ac:dyDescent="0.2"/>
    <row r="289" ht="14.1" customHeight="1" x14ac:dyDescent="0.2"/>
    <row r="290" ht="14.1" customHeight="1" x14ac:dyDescent="0.2"/>
    <row r="291" ht="14.1" customHeight="1" x14ac:dyDescent="0.2"/>
    <row r="292" ht="14.1" customHeight="1" x14ac:dyDescent="0.2"/>
    <row r="293" ht="14.1" customHeight="1" x14ac:dyDescent="0.2"/>
    <row r="294" ht="14.1" customHeight="1" x14ac:dyDescent="0.2"/>
    <row r="295" ht="14.1" customHeight="1" x14ac:dyDescent="0.2"/>
    <row r="296" ht="14.1" customHeight="1" x14ac:dyDescent="0.2"/>
    <row r="297" ht="14.1" customHeight="1" x14ac:dyDescent="0.2"/>
    <row r="298" ht="14.1" customHeight="1" x14ac:dyDescent="0.2"/>
    <row r="299" ht="14.1" customHeight="1" x14ac:dyDescent="0.2"/>
    <row r="300" ht="14.1" customHeight="1" x14ac:dyDescent="0.2"/>
    <row r="301" ht="14.1" customHeight="1" x14ac:dyDescent="0.2"/>
    <row r="302" ht="14.1" customHeight="1" x14ac:dyDescent="0.2"/>
    <row r="303" ht="14.1" customHeight="1" x14ac:dyDescent="0.2"/>
    <row r="304" ht="14.1" customHeight="1" x14ac:dyDescent="0.2"/>
    <row r="305" ht="14.1" customHeight="1" x14ac:dyDescent="0.2"/>
    <row r="306" ht="14.1" customHeight="1" x14ac:dyDescent="0.2"/>
    <row r="307" ht="14.1" customHeight="1" x14ac:dyDescent="0.2"/>
    <row r="308" ht="14.1" customHeight="1" x14ac:dyDescent="0.2"/>
    <row r="309" ht="14.1" customHeight="1" x14ac:dyDescent="0.2"/>
    <row r="310" ht="14.1" customHeight="1" x14ac:dyDescent="0.2"/>
    <row r="311" ht="14.1" customHeight="1" x14ac:dyDescent="0.2"/>
    <row r="312" ht="14.1" customHeight="1" x14ac:dyDescent="0.2"/>
    <row r="313" ht="14.1" customHeight="1" x14ac:dyDescent="0.2"/>
    <row r="314" ht="14.1" customHeight="1" x14ac:dyDescent="0.2"/>
    <row r="315" ht="14.1" customHeight="1" x14ac:dyDescent="0.2"/>
    <row r="316" ht="14.1" customHeight="1" x14ac:dyDescent="0.2"/>
    <row r="317" ht="14.1" customHeight="1" x14ac:dyDescent="0.2"/>
    <row r="318" ht="14.1" customHeight="1" x14ac:dyDescent="0.2"/>
    <row r="319" ht="14.1" customHeight="1" x14ac:dyDescent="0.2"/>
    <row r="320" ht="14.1" customHeight="1" x14ac:dyDescent="0.2"/>
    <row r="321" ht="14.1" customHeight="1" x14ac:dyDescent="0.2"/>
    <row r="322" ht="14.1" customHeight="1" x14ac:dyDescent="0.2"/>
    <row r="323" ht="14.1" customHeight="1" x14ac:dyDescent="0.2"/>
    <row r="324" ht="14.1" customHeight="1" x14ac:dyDescent="0.2"/>
    <row r="325" ht="14.1" customHeight="1" x14ac:dyDescent="0.2"/>
    <row r="326" ht="14.1" customHeight="1" x14ac:dyDescent="0.2"/>
    <row r="327" ht="14.1" customHeight="1" x14ac:dyDescent="0.2"/>
    <row r="328" ht="14.1" customHeight="1" x14ac:dyDescent="0.2"/>
    <row r="329" ht="14.1" customHeight="1" x14ac:dyDescent="0.2"/>
    <row r="330" ht="14.1" customHeight="1" x14ac:dyDescent="0.2"/>
    <row r="331" ht="14.1" customHeight="1" x14ac:dyDescent="0.2"/>
    <row r="332" ht="14.1" customHeight="1" x14ac:dyDescent="0.2"/>
    <row r="333" ht="14.1" customHeight="1" x14ac:dyDescent="0.2"/>
    <row r="334" ht="14.1" customHeight="1" x14ac:dyDescent="0.2"/>
    <row r="335" ht="14.1" customHeight="1" x14ac:dyDescent="0.2"/>
    <row r="336" ht="14.1" customHeight="1" x14ac:dyDescent="0.2"/>
    <row r="337" ht="14.1" customHeight="1" x14ac:dyDescent="0.2"/>
    <row r="338" ht="14.1" customHeight="1" x14ac:dyDescent="0.2"/>
    <row r="339" ht="14.1" customHeight="1" x14ac:dyDescent="0.2"/>
    <row r="340" ht="14.1" customHeight="1" x14ac:dyDescent="0.2"/>
    <row r="341" ht="14.1" customHeight="1" x14ac:dyDescent="0.2"/>
    <row r="342" ht="14.1" customHeight="1" x14ac:dyDescent="0.2"/>
    <row r="343" ht="14.1" customHeight="1" x14ac:dyDescent="0.2"/>
    <row r="344" ht="14.1" customHeight="1" x14ac:dyDescent="0.2"/>
    <row r="345" ht="14.1" customHeight="1" x14ac:dyDescent="0.2"/>
    <row r="346" ht="14.1" customHeight="1" x14ac:dyDescent="0.2"/>
    <row r="347" ht="14.1" customHeight="1" x14ac:dyDescent="0.2"/>
    <row r="348" ht="14.1" customHeight="1" x14ac:dyDescent="0.2"/>
    <row r="349" ht="14.1" customHeight="1" x14ac:dyDescent="0.2"/>
    <row r="350" ht="14.1" customHeight="1" x14ac:dyDescent="0.2"/>
    <row r="351" ht="14.1" customHeight="1" x14ac:dyDescent="0.2"/>
    <row r="352" ht="14.1" customHeight="1" x14ac:dyDescent="0.2"/>
    <row r="353" ht="14.1" customHeight="1" x14ac:dyDescent="0.2"/>
    <row r="354" ht="14.1" customHeight="1" x14ac:dyDescent="0.2"/>
    <row r="355" ht="14.1" customHeight="1" x14ac:dyDescent="0.2"/>
    <row r="356" ht="14.1" customHeight="1" x14ac:dyDescent="0.2"/>
    <row r="357" ht="14.1" customHeight="1" x14ac:dyDescent="0.2"/>
    <row r="358" ht="14.1" customHeight="1" x14ac:dyDescent="0.2"/>
    <row r="359" ht="14.1" customHeight="1" x14ac:dyDescent="0.2"/>
    <row r="360" ht="14.1" customHeight="1" x14ac:dyDescent="0.2"/>
    <row r="361" ht="14.1" customHeight="1" x14ac:dyDescent="0.2"/>
    <row r="362" ht="14.1" customHeight="1" x14ac:dyDescent="0.2"/>
    <row r="363" ht="14.1" customHeight="1" x14ac:dyDescent="0.2"/>
    <row r="364" ht="14.1" customHeight="1" x14ac:dyDescent="0.2"/>
    <row r="365" ht="14.1" customHeight="1" x14ac:dyDescent="0.2"/>
    <row r="366" ht="14.1" customHeight="1" x14ac:dyDescent="0.2"/>
    <row r="367" ht="14.1" customHeight="1" x14ac:dyDescent="0.2"/>
    <row r="368" ht="14.1" customHeight="1" x14ac:dyDescent="0.2"/>
    <row r="369" ht="14.1" customHeight="1" x14ac:dyDescent="0.2"/>
    <row r="370" ht="14.1" customHeight="1" x14ac:dyDescent="0.2"/>
    <row r="371" ht="14.1" customHeight="1" x14ac:dyDescent="0.2"/>
    <row r="372" ht="14.1" customHeight="1" x14ac:dyDescent="0.2"/>
    <row r="373" ht="14.1" customHeight="1" x14ac:dyDescent="0.2"/>
    <row r="374" ht="14.1" customHeight="1" x14ac:dyDescent="0.2"/>
  </sheetData>
  <sheetProtection password="CE88" sheet="1" objects="1" scenarios="1"/>
  <mergeCells count="4">
    <mergeCell ref="K9:L9"/>
    <mergeCell ref="M9:N9"/>
    <mergeCell ref="I10:J10"/>
    <mergeCell ref="B3:F3"/>
  </mergeCells>
  <phoneticPr fontId="0" type="noConversion"/>
  <conditionalFormatting sqref="C79">
    <cfRule type="cellIs" dxfId="16" priority="1" stopIfTrue="1" operator="notEqual">
      <formula>$C$81-$C$80</formula>
    </cfRule>
  </conditionalFormatting>
  <conditionalFormatting sqref="D79">
    <cfRule type="cellIs" dxfId="15" priority="2" stopIfTrue="1" operator="notEqual">
      <formula>$D$81-$D$80</formula>
    </cfRule>
  </conditionalFormatting>
  <conditionalFormatting sqref="E79">
    <cfRule type="cellIs" dxfId="14" priority="3" stopIfTrue="1" operator="notEqual">
      <formula>$E$81-$E$80</formula>
    </cfRule>
  </conditionalFormatting>
  <conditionalFormatting sqref="F79">
    <cfRule type="cellIs" dxfId="13" priority="4" stopIfTrue="1" operator="notEqual">
      <formula>$F$81-$F$80</formula>
    </cfRule>
  </conditionalFormatting>
  <conditionalFormatting sqref="C34:F34 C43:F48 C61:F61 C69:F71 C73:F74">
    <cfRule type="cellIs" dxfId="12" priority="5" stopIfTrue="1" operator="greaterThan">
      <formula>0</formula>
    </cfRule>
  </conditionalFormatting>
  <conditionalFormatting sqref="C35:F36 C50:F55 C60:F60 C62:F62 C65:F67">
    <cfRule type="cellIs" dxfId="11" priority="6" stopIfTrue="1" operator="lessThan">
      <formula>0</formula>
    </cfRule>
  </conditionalFormatting>
  <conditionalFormatting sqref="G26:H32 G43:H46 G50:H54">
    <cfRule type="cellIs" dxfId="10" priority="7" stopIfTrue="1" operator="notEqual">
      <formula>E26</formula>
    </cfRule>
  </conditionalFormatting>
  <conditionalFormatting sqref="G62">
    <cfRule type="cellIs" dxfId="9" priority="8" stopIfTrue="1" operator="notEqual">
      <formula>$E$62</formula>
    </cfRule>
  </conditionalFormatting>
  <conditionalFormatting sqref="H62">
    <cfRule type="cellIs" dxfId="8" priority="9" stopIfTrue="1" operator="notEqual">
      <formula>$F$62</formula>
    </cfRule>
  </conditionalFormatting>
  <printOptions horizontalCentered="1" verticalCentered="1"/>
  <pageMargins left="0.74803149606299213" right="0.70866141732283472" top="0.55118110236220474" bottom="0.98425196850393704" header="0" footer="0.39370078740157483"/>
  <pageSetup paperSize="9" scale="6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0"/>
  <sheetViews>
    <sheetView showZeros="0" topLeftCell="A4" zoomScale="75" zoomScaleNormal="75" workbookViewId="0">
      <selection activeCell="D39" sqref="D39"/>
    </sheetView>
  </sheetViews>
  <sheetFormatPr baseColWidth="10" defaultRowHeight="12.75" x14ac:dyDescent="0.2"/>
  <cols>
    <col min="1" max="1" width="3.85546875" customWidth="1"/>
    <col min="2" max="2" width="38" customWidth="1"/>
    <col min="3" max="3" width="10.7109375" customWidth="1"/>
    <col min="4" max="4" width="18.7109375" customWidth="1"/>
    <col min="5" max="5" width="12.7109375" customWidth="1"/>
    <col min="6" max="6" width="10.7109375" customWidth="1"/>
    <col min="7" max="7" width="12.7109375" customWidth="1"/>
    <col min="8" max="8" width="15.7109375" customWidth="1"/>
    <col min="9" max="9" width="10.7109375" customWidth="1"/>
    <col min="10" max="10" width="18.7109375" customWidth="1"/>
    <col min="11" max="11" width="12.7109375" customWidth="1"/>
    <col min="12" max="12" width="10.7109375" customWidth="1"/>
    <col min="13" max="13" width="12.7109375" customWidth="1"/>
    <col min="14" max="14" width="15.7109375" customWidth="1"/>
  </cols>
  <sheetData>
    <row r="1" spans="2:15" ht="20.25" customHeight="1" thickBot="1" x14ac:dyDescent="0.25"/>
    <row r="2" spans="2:15" ht="20.25" customHeight="1" thickTop="1" thickBot="1" x14ac:dyDescent="0.3">
      <c r="B2" s="2" t="str">
        <f>PyG!B4</f>
        <v>PRESUPUESTO 2013</v>
      </c>
      <c r="G2" s="5" t="s">
        <v>7</v>
      </c>
      <c r="O2" s="3" t="s">
        <v>451</v>
      </c>
    </row>
    <row r="3" spans="2:15" ht="19.5" customHeight="1" thickTop="1" x14ac:dyDescent="0.25">
      <c r="B3" s="4" t="str">
        <f>PyG!B5</f>
        <v>CENTRO: 701</v>
      </c>
      <c r="G3" s="1"/>
    </row>
    <row r="4" spans="2:15" ht="20.25" customHeight="1" x14ac:dyDescent="0.25">
      <c r="B4" s="4" t="str">
        <f>PyG!B6</f>
        <v>SECCION: 035</v>
      </c>
      <c r="C4" s="2"/>
      <c r="D4" s="2"/>
      <c r="E4" s="2"/>
      <c r="F4" s="2"/>
      <c r="G4" s="2"/>
      <c r="H4" s="2"/>
      <c r="J4" s="1"/>
      <c r="K4" s="1"/>
      <c r="L4" s="1"/>
    </row>
    <row r="5" spans="2:15" ht="20.25" customHeight="1" x14ac:dyDescent="0.25">
      <c r="B5" s="4" t="str">
        <f>PyG!B7</f>
        <v>SOCIEDAD: EMPRESA MUNICIPAL DE LA VIVIENDA Y SUELO DE MADRID S.A.</v>
      </c>
      <c r="C5" s="2"/>
      <c r="D5" s="2"/>
      <c r="E5" s="2"/>
      <c r="F5" s="2"/>
      <c r="G5" s="2"/>
      <c r="H5" s="2"/>
      <c r="J5" s="1"/>
      <c r="K5" s="1"/>
      <c r="L5" s="1"/>
      <c r="M5" s="4"/>
    </row>
    <row r="6" spans="2:15" ht="6.75" customHeight="1" thickBot="1" x14ac:dyDescent="0.25">
      <c r="B6" s="7"/>
      <c r="C6" s="7"/>
      <c r="D6" s="7"/>
      <c r="E6" s="7"/>
      <c r="F6" s="7"/>
      <c r="H6" s="7"/>
      <c r="I6" s="8"/>
      <c r="J6" s="9"/>
      <c r="K6" s="9"/>
      <c r="L6" s="9"/>
      <c r="M6" s="7"/>
      <c r="N6" s="9"/>
    </row>
    <row r="7" spans="2:15" ht="22.5" customHeight="1" x14ac:dyDescent="0.25">
      <c r="B7" s="345" t="s">
        <v>377</v>
      </c>
      <c r="C7" s="344" t="s">
        <v>378</v>
      </c>
      <c r="D7" s="517" t="s">
        <v>454</v>
      </c>
      <c r="E7" s="518"/>
      <c r="F7" s="518"/>
      <c r="G7" s="518"/>
      <c r="H7" s="519"/>
      <c r="I7" s="344" t="s">
        <v>378</v>
      </c>
      <c r="J7" s="517" t="s">
        <v>452</v>
      </c>
      <c r="K7" s="518"/>
      <c r="L7" s="518"/>
      <c r="M7" s="518"/>
      <c r="N7" s="519"/>
      <c r="O7" s="10" t="s">
        <v>34</v>
      </c>
    </row>
    <row r="8" spans="2:15" ht="18" customHeight="1" thickBot="1" x14ac:dyDescent="0.3">
      <c r="B8" s="11" t="s">
        <v>8</v>
      </c>
      <c r="C8" s="12" t="s">
        <v>455</v>
      </c>
      <c r="D8" s="13" t="s">
        <v>379</v>
      </c>
      <c r="E8" s="14" t="s">
        <v>9</v>
      </c>
      <c r="F8" s="14" t="s">
        <v>10</v>
      </c>
      <c r="G8" s="14" t="s">
        <v>11</v>
      </c>
      <c r="H8" s="15" t="s">
        <v>12</v>
      </c>
      <c r="I8" s="16" t="s">
        <v>453</v>
      </c>
      <c r="J8" s="13" t="s">
        <v>379</v>
      </c>
      <c r="K8" s="14" t="s">
        <v>9</v>
      </c>
      <c r="L8" s="14" t="s">
        <v>10</v>
      </c>
      <c r="M8" s="14" t="s">
        <v>11</v>
      </c>
      <c r="N8" s="15" t="s">
        <v>13</v>
      </c>
      <c r="O8" s="6" t="s">
        <v>14</v>
      </c>
    </row>
    <row r="9" spans="2:15" ht="15" customHeight="1" thickTop="1" x14ac:dyDescent="0.2">
      <c r="B9" s="148"/>
      <c r="C9" s="149"/>
      <c r="D9" s="149"/>
      <c r="E9" s="149"/>
      <c r="F9" s="149"/>
      <c r="G9" s="149"/>
      <c r="H9" s="150">
        <f t="shared" ref="H9:H38" si="0">SUM(D9:G9)</f>
        <v>0</v>
      </c>
      <c r="I9" s="149"/>
      <c r="J9" s="149"/>
      <c r="K9" s="149"/>
      <c r="L9" s="149"/>
      <c r="M9" s="149"/>
      <c r="N9" s="150">
        <f t="shared" ref="N9:N38" si="1">SUM(J9:M9)</f>
        <v>0</v>
      </c>
      <c r="O9" s="151" t="str">
        <f t="shared" ref="O9:O39" si="2">IF(H9=0," ",(H9/N9)-1)</f>
        <v xml:space="preserve"> </v>
      </c>
    </row>
    <row r="10" spans="2:15" ht="15" customHeight="1" x14ac:dyDescent="0.2">
      <c r="B10" s="148" t="s">
        <v>478</v>
      </c>
      <c r="C10" s="99">
        <v>11</v>
      </c>
      <c r="D10" s="99">
        <v>891962</v>
      </c>
      <c r="E10" s="99">
        <v>42172.49</v>
      </c>
      <c r="F10" s="99"/>
      <c r="G10" s="99">
        <v>115563.56</v>
      </c>
      <c r="H10" s="98">
        <f t="shared" si="0"/>
        <v>1049698.05</v>
      </c>
      <c r="I10" s="466">
        <v>11</v>
      </c>
      <c r="J10" s="99">
        <v>828250</v>
      </c>
      <c r="K10" s="99">
        <v>41248</v>
      </c>
      <c r="L10" s="99"/>
      <c r="M10" s="99">
        <v>115563.56</v>
      </c>
      <c r="N10" s="98">
        <f t="shared" si="1"/>
        <v>985061.56</v>
      </c>
      <c r="O10" s="152">
        <f t="shared" si="2"/>
        <v>6.5616701153174528E-2</v>
      </c>
    </row>
    <row r="11" spans="2:15" ht="15" customHeight="1" x14ac:dyDescent="0.2">
      <c r="B11" s="148" t="s">
        <v>479</v>
      </c>
      <c r="C11" s="99">
        <v>31</v>
      </c>
      <c r="D11" s="99">
        <v>1558162.3</v>
      </c>
      <c r="E11" s="99">
        <v>118708.95</v>
      </c>
      <c r="F11" s="99"/>
      <c r="G11" s="99">
        <v>331478.8</v>
      </c>
      <c r="H11" s="98">
        <f t="shared" si="0"/>
        <v>2008350.05</v>
      </c>
      <c r="I11" s="466">
        <v>31</v>
      </c>
      <c r="J11" s="99">
        <v>1446867</v>
      </c>
      <c r="K11" s="99">
        <v>116925</v>
      </c>
      <c r="L11" s="99"/>
      <c r="M11" s="99">
        <v>331478.8</v>
      </c>
      <c r="N11" s="98">
        <f t="shared" si="1"/>
        <v>1895270.8</v>
      </c>
      <c r="O11" s="152">
        <f t="shared" si="2"/>
        <v>5.9663901327451363E-2</v>
      </c>
    </row>
    <row r="12" spans="2:15" ht="15" customHeight="1" x14ac:dyDescent="0.2">
      <c r="B12" s="148" t="s">
        <v>480</v>
      </c>
      <c r="C12" s="99">
        <v>4</v>
      </c>
      <c r="D12" s="99">
        <v>181363.75</v>
      </c>
      <c r="E12" s="99">
        <v>25268.84</v>
      </c>
      <c r="F12" s="99"/>
      <c r="G12" s="99">
        <v>67117.05</v>
      </c>
      <c r="H12" s="98">
        <f t="shared" si="0"/>
        <v>273749.64</v>
      </c>
      <c r="I12" s="466">
        <v>4</v>
      </c>
      <c r="J12" s="99">
        <v>168409</v>
      </c>
      <c r="K12" s="99">
        <v>24877</v>
      </c>
      <c r="L12" s="99"/>
      <c r="M12" s="99">
        <v>67117.05</v>
      </c>
      <c r="N12" s="98">
        <f t="shared" si="1"/>
        <v>260403.05</v>
      </c>
      <c r="O12" s="152">
        <f t="shared" si="2"/>
        <v>5.1253585547481162E-2</v>
      </c>
    </row>
    <row r="13" spans="2:15" ht="15" customHeight="1" x14ac:dyDescent="0.2">
      <c r="B13" s="148" t="s">
        <v>481</v>
      </c>
      <c r="C13" s="99">
        <v>18</v>
      </c>
      <c r="D13" s="99">
        <v>747263.34</v>
      </c>
      <c r="E13" s="99">
        <v>65029.47</v>
      </c>
      <c r="F13" s="99"/>
      <c r="G13" s="99">
        <v>307162.13</v>
      </c>
      <c r="H13" s="98">
        <f t="shared" si="0"/>
        <v>1119454.94</v>
      </c>
      <c r="I13" s="466">
        <v>20</v>
      </c>
      <c r="J13" s="99">
        <v>701345</v>
      </c>
      <c r="K13" s="99">
        <v>63842</v>
      </c>
      <c r="L13" s="99"/>
      <c r="M13" s="99">
        <v>326358</v>
      </c>
      <c r="N13" s="98">
        <f t="shared" si="1"/>
        <v>1091545</v>
      </c>
      <c r="O13" s="152">
        <f t="shared" si="2"/>
        <v>2.5569206949782153E-2</v>
      </c>
    </row>
    <row r="14" spans="2:15" ht="15" customHeight="1" x14ac:dyDescent="0.2">
      <c r="B14" s="148" t="s">
        <v>482</v>
      </c>
      <c r="C14" s="99">
        <v>32</v>
      </c>
      <c r="D14" s="99">
        <v>1241046.08</v>
      </c>
      <c r="E14" s="99">
        <v>79597.149999999994</v>
      </c>
      <c r="F14" s="99"/>
      <c r="G14" s="99">
        <v>356063.33</v>
      </c>
      <c r="H14" s="98">
        <f t="shared" si="0"/>
        <v>1676706.56</v>
      </c>
      <c r="I14" s="466">
        <v>33</v>
      </c>
      <c r="J14" s="99">
        <v>1160557</v>
      </c>
      <c r="K14" s="99">
        <v>76220</v>
      </c>
      <c r="L14" s="99"/>
      <c r="M14" s="99">
        <v>353687</v>
      </c>
      <c r="N14" s="98">
        <f t="shared" si="1"/>
        <v>1590464</v>
      </c>
      <c r="O14" s="152">
        <f t="shared" si="2"/>
        <v>5.4224779686934177E-2</v>
      </c>
    </row>
    <row r="15" spans="2:15" ht="15" customHeight="1" x14ac:dyDescent="0.2">
      <c r="B15" s="148" t="s">
        <v>483</v>
      </c>
      <c r="C15" s="99">
        <v>39</v>
      </c>
      <c r="D15" s="99">
        <v>1352340.99</v>
      </c>
      <c r="E15" s="99">
        <v>107228.16</v>
      </c>
      <c r="F15" s="99"/>
      <c r="G15" s="99">
        <v>459503.07</v>
      </c>
      <c r="H15" s="98">
        <f t="shared" si="0"/>
        <v>1919072.22</v>
      </c>
      <c r="I15" s="466">
        <v>44</v>
      </c>
      <c r="J15" s="99">
        <v>1323883</v>
      </c>
      <c r="K15" s="99">
        <v>102857</v>
      </c>
      <c r="L15" s="99"/>
      <c r="M15" s="99">
        <v>506358</v>
      </c>
      <c r="N15" s="98">
        <f t="shared" si="1"/>
        <v>1933098</v>
      </c>
      <c r="O15" s="152">
        <f t="shared" si="2"/>
        <v>-7.255596974390377E-3</v>
      </c>
    </row>
    <row r="16" spans="2:15" ht="15" customHeight="1" x14ac:dyDescent="0.2">
      <c r="B16" s="148" t="s">
        <v>505</v>
      </c>
      <c r="C16" s="99">
        <v>34</v>
      </c>
      <c r="D16" s="99">
        <v>1022541.5</v>
      </c>
      <c r="E16" s="99">
        <v>70996.11</v>
      </c>
      <c r="F16" s="99"/>
      <c r="G16" s="99">
        <v>284991.65000000002</v>
      </c>
      <c r="H16" s="98">
        <f t="shared" si="0"/>
        <v>1378529.2600000002</v>
      </c>
      <c r="I16" s="466">
        <v>34</v>
      </c>
      <c r="J16" s="99">
        <v>949504</v>
      </c>
      <c r="K16" s="99">
        <v>65924</v>
      </c>
      <c r="L16" s="99"/>
      <c r="M16" s="99">
        <v>265471</v>
      </c>
      <c r="N16" s="98">
        <f t="shared" si="1"/>
        <v>1280899</v>
      </c>
      <c r="O16" s="152">
        <f t="shared" si="2"/>
        <v>7.6220107908586243E-2</v>
      </c>
    </row>
    <row r="17" spans="2:15" ht="15" customHeight="1" x14ac:dyDescent="0.2">
      <c r="B17" s="148" t="s">
        <v>484</v>
      </c>
      <c r="C17" s="99">
        <v>56</v>
      </c>
      <c r="D17" s="99">
        <v>1499555.12</v>
      </c>
      <c r="E17" s="99">
        <v>122532.3</v>
      </c>
      <c r="F17" s="99"/>
      <c r="G17" s="99">
        <v>292659.71999999997</v>
      </c>
      <c r="H17" s="98">
        <f t="shared" si="0"/>
        <v>1914747.1400000001</v>
      </c>
      <c r="I17" s="466">
        <v>56</v>
      </c>
      <c r="J17" s="99">
        <v>1392446</v>
      </c>
      <c r="K17" s="99">
        <v>118954</v>
      </c>
      <c r="L17" s="99"/>
      <c r="M17" s="99">
        <v>274478</v>
      </c>
      <c r="N17" s="98">
        <f t="shared" si="1"/>
        <v>1785878</v>
      </c>
      <c r="O17" s="152">
        <f t="shared" si="2"/>
        <v>7.2160102761778866E-2</v>
      </c>
    </row>
    <row r="18" spans="2:15" ht="15" customHeight="1" x14ac:dyDescent="0.2">
      <c r="B18" s="148" t="s">
        <v>485</v>
      </c>
      <c r="C18" s="99">
        <v>10</v>
      </c>
      <c r="D18" s="99">
        <v>238731.5</v>
      </c>
      <c r="E18" s="99">
        <v>145505.73000000001</v>
      </c>
      <c r="F18" s="99"/>
      <c r="G18" s="99">
        <v>75200.42</v>
      </c>
      <c r="H18" s="98">
        <f t="shared" si="0"/>
        <v>459437.64999999997</v>
      </c>
      <c r="I18" s="466">
        <v>10</v>
      </c>
      <c r="J18" s="99">
        <v>221680</v>
      </c>
      <c r="K18" s="99">
        <v>140325</v>
      </c>
      <c r="L18" s="99"/>
      <c r="M18" s="99">
        <v>70524</v>
      </c>
      <c r="N18" s="98">
        <f t="shared" si="1"/>
        <v>432529</v>
      </c>
      <c r="O18" s="152">
        <f t="shared" si="2"/>
        <v>6.2212360327284388E-2</v>
      </c>
    </row>
    <row r="19" spans="2:15" ht="15" customHeight="1" x14ac:dyDescent="0.2">
      <c r="B19" s="148" t="s">
        <v>486</v>
      </c>
      <c r="C19" s="99">
        <v>4</v>
      </c>
      <c r="D19" s="99">
        <v>107111.08</v>
      </c>
      <c r="E19" s="99">
        <v>2851.74</v>
      </c>
      <c r="F19" s="99"/>
      <c r="G19" s="99">
        <v>17627.509999999998</v>
      </c>
      <c r="H19" s="98">
        <f t="shared" si="0"/>
        <v>127590.33</v>
      </c>
      <c r="I19" s="466">
        <v>4</v>
      </c>
      <c r="J19" s="99">
        <v>99460</v>
      </c>
      <c r="K19" s="99">
        <v>2648</v>
      </c>
      <c r="L19" s="99"/>
      <c r="M19" s="99">
        <v>15236</v>
      </c>
      <c r="N19" s="98">
        <f t="shared" si="1"/>
        <v>117344</v>
      </c>
      <c r="O19" s="152">
        <f t="shared" si="2"/>
        <v>8.7318738069266377E-2</v>
      </c>
    </row>
    <row r="20" spans="2:15" ht="15" customHeight="1" x14ac:dyDescent="0.2">
      <c r="B20" s="148" t="s">
        <v>506</v>
      </c>
      <c r="C20" s="99">
        <v>14</v>
      </c>
      <c r="D20" s="99">
        <v>334224.09999999998</v>
      </c>
      <c r="E20" s="99">
        <v>30894.14</v>
      </c>
      <c r="F20" s="99"/>
      <c r="G20" s="99">
        <v>70991.92</v>
      </c>
      <c r="H20" s="98">
        <f t="shared" si="0"/>
        <v>436110.16</v>
      </c>
      <c r="I20" s="466">
        <v>14</v>
      </c>
      <c r="J20" s="99">
        <v>310350</v>
      </c>
      <c r="K20" s="99">
        <v>29248</v>
      </c>
      <c r="L20" s="99"/>
      <c r="M20" s="99">
        <v>67852</v>
      </c>
      <c r="N20" s="98">
        <f t="shared" si="1"/>
        <v>407450</v>
      </c>
      <c r="O20" s="152">
        <f t="shared" si="2"/>
        <v>7.0340311694686353E-2</v>
      </c>
    </row>
    <row r="21" spans="2:15" ht="15" customHeight="1" x14ac:dyDescent="0.2">
      <c r="B21" s="148" t="s">
        <v>487</v>
      </c>
      <c r="C21" s="99">
        <v>56</v>
      </c>
      <c r="D21" s="99">
        <v>1225568.97</v>
      </c>
      <c r="E21" s="99">
        <v>169607.69</v>
      </c>
      <c r="F21" s="99"/>
      <c r="G21" s="99">
        <v>443876.63</v>
      </c>
      <c r="H21" s="98">
        <f t="shared" si="0"/>
        <v>1839053.29</v>
      </c>
      <c r="I21" s="466">
        <v>57</v>
      </c>
      <c r="J21" s="99">
        <v>1138073</v>
      </c>
      <c r="K21" s="99">
        <v>157854</v>
      </c>
      <c r="L21" s="99"/>
      <c r="M21" s="99">
        <v>438652</v>
      </c>
      <c r="N21" s="98">
        <f t="shared" si="1"/>
        <v>1734579</v>
      </c>
      <c r="O21" s="152">
        <f t="shared" si="2"/>
        <v>6.0230344077727205E-2</v>
      </c>
    </row>
    <row r="22" spans="2:15" ht="15" customHeight="1" x14ac:dyDescent="0.2">
      <c r="B22" s="148" t="s">
        <v>488</v>
      </c>
      <c r="C22" s="99">
        <v>32</v>
      </c>
      <c r="D22" s="99">
        <v>622791.68000000005</v>
      </c>
      <c r="E22" s="99">
        <v>21973.759999999998</v>
      </c>
      <c r="F22" s="99"/>
      <c r="G22" s="99">
        <v>204274.24</v>
      </c>
      <c r="H22" s="98">
        <f t="shared" si="0"/>
        <v>849039.68</v>
      </c>
      <c r="I22" s="466">
        <v>38</v>
      </c>
      <c r="J22" s="99">
        <v>593882</v>
      </c>
      <c r="K22" s="99">
        <v>24231</v>
      </c>
      <c r="L22" s="99"/>
      <c r="M22" s="99">
        <v>235845</v>
      </c>
      <c r="N22" s="98">
        <f t="shared" si="1"/>
        <v>853958</v>
      </c>
      <c r="O22" s="152">
        <f t="shared" si="2"/>
        <v>-5.7594401598204392E-3</v>
      </c>
    </row>
    <row r="23" spans="2:15" ht="15" customHeight="1" x14ac:dyDescent="0.2">
      <c r="B23" s="148" t="s">
        <v>489</v>
      </c>
      <c r="C23" s="99">
        <v>1</v>
      </c>
      <c r="D23" s="99">
        <v>25062.03</v>
      </c>
      <c r="E23" s="99">
        <v>4149.04</v>
      </c>
      <c r="F23" s="99"/>
      <c r="G23" s="99">
        <v>9077.16</v>
      </c>
      <c r="H23" s="98">
        <f t="shared" si="0"/>
        <v>38288.229999999996</v>
      </c>
      <c r="I23" s="466">
        <v>1</v>
      </c>
      <c r="J23" s="99">
        <v>23272</v>
      </c>
      <c r="K23" s="99">
        <v>3987</v>
      </c>
      <c r="L23" s="99"/>
      <c r="M23" s="99">
        <v>8824</v>
      </c>
      <c r="N23" s="98">
        <f t="shared" si="1"/>
        <v>36083</v>
      </c>
      <c r="O23" s="152">
        <f t="shared" si="2"/>
        <v>6.1115483745808108E-2</v>
      </c>
    </row>
    <row r="24" spans="2:15" ht="15" customHeight="1" x14ac:dyDescent="0.2">
      <c r="B24" s="148" t="s">
        <v>507</v>
      </c>
      <c r="C24" s="99">
        <v>7</v>
      </c>
      <c r="D24" s="99">
        <v>125869.52</v>
      </c>
      <c r="E24" s="99">
        <v>2833.73</v>
      </c>
      <c r="F24" s="99"/>
      <c r="G24" s="99">
        <v>29878.35</v>
      </c>
      <c r="H24" s="98">
        <f t="shared" si="0"/>
        <v>158581.6</v>
      </c>
      <c r="I24" s="466">
        <v>7</v>
      </c>
      <c r="J24" s="99">
        <v>116879</v>
      </c>
      <c r="K24" s="99">
        <v>2632</v>
      </c>
      <c r="L24" s="99"/>
      <c r="M24" s="99">
        <v>27744</v>
      </c>
      <c r="N24" s="98">
        <f t="shared" si="1"/>
        <v>147255</v>
      </c>
      <c r="O24" s="152">
        <f t="shared" si="2"/>
        <v>7.6918271026450658E-2</v>
      </c>
    </row>
    <row r="25" spans="2:15" ht="15" customHeight="1" x14ac:dyDescent="0.2">
      <c r="B25" s="148"/>
      <c r="C25" s="99"/>
      <c r="D25" s="99"/>
      <c r="E25" s="99"/>
      <c r="F25" s="99"/>
      <c r="G25" s="99"/>
      <c r="H25" s="98">
        <f t="shared" si="0"/>
        <v>0</v>
      </c>
      <c r="I25" s="466"/>
      <c r="J25" s="99"/>
      <c r="K25" s="99"/>
      <c r="L25" s="99"/>
      <c r="M25" s="99"/>
      <c r="N25" s="98">
        <f t="shared" si="1"/>
        <v>0</v>
      </c>
      <c r="O25" s="152" t="str">
        <f t="shared" si="2"/>
        <v xml:space="preserve"> </v>
      </c>
    </row>
    <row r="26" spans="2:15" ht="15" customHeight="1" x14ac:dyDescent="0.2">
      <c r="B26" s="148"/>
      <c r="C26" s="99"/>
      <c r="D26" s="99"/>
      <c r="E26" s="99"/>
      <c r="F26" s="99"/>
      <c r="G26" s="99"/>
      <c r="H26" s="98">
        <f t="shared" si="0"/>
        <v>0</v>
      </c>
      <c r="I26" s="466"/>
      <c r="J26" s="99"/>
      <c r="K26" s="99"/>
      <c r="L26" s="99"/>
      <c r="M26" s="99"/>
      <c r="N26" s="98">
        <f t="shared" si="1"/>
        <v>0</v>
      </c>
      <c r="O26" s="152" t="str">
        <f t="shared" si="2"/>
        <v xml:space="preserve"> </v>
      </c>
    </row>
    <row r="27" spans="2:15" ht="15" customHeight="1" x14ac:dyDescent="0.2">
      <c r="B27" s="148"/>
      <c r="C27" s="99"/>
      <c r="D27" s="99"/>
      <c r="E27" s="99"/>
      <c r="F27" s="99"/>
      <c r="G27" s="99"/>
      <c r="H27" s="98">
        <f t="shared" si="0"/>
        <v>0</v>
      </c>
      <c r="I27" s="466"/>
      <c r="J27" s="99"/>
      <c r="K27" s="99"/>
      <c r="L27" s="99"/>
      <c r="M27" s="99"/>
      <c r="N27" s="98">
        <f t="shared" si="1"/>
        <v>0</v>
      </c>
      <c r="O27" s="152" t="str">
        <f t="shared" si="2"/>
        <v xml:space="preserve"> </v>
      </c>
    </row>
    <row r="28" spans="2:15" ht="15" customHeight="1" x14ac:dyDescent="0.2">
      <c r="B28" s="148"/>
      <c r="C28" s="99"/>
      <c r="D28" s="99"/>
      <c r="E28" s="99"/>
      <c r="F28" s="99"/>
      <c r="G28" s="99"/>
      <c r="H28" s="98">
        <f t="shared" si="0"/>
        <v>0</v>
      </c>
      <c r="I28" s="466"/>
      <c r="J28" s="99"/>
      <c r="K28" s="99"/>
      <c r="L28" s="99"/>
      <c r="M28" s="99"/>
      <c r="N28" s="98">
        <f t="shared" si="1"/>
        <v>0</v>
      </c>
      <c r="O28" s="152" t="str">
        <f t="shared" si="2"/>
        <v xml:space="preserve"> </v>
      </c>
    </row>
    <row r="29" spans="2:15" ht="15" customHeight="1" x14ac:dyDescent="0.2">
      <c r="B29" s="148"/>
      <c r="C29" s="99"/>
      <c r="D29" s="99"/>
      <c r="E29" s="99"/>
      <c r="F29" s="99"/>
      <c r="G29" s="99"/>
      <c r="H29" s="98">
        <f t="shared" si="0"/>
        <v>0</v>
      </c>
      <c r="I29" s="466"/>
      <c r="J29" s="99"/>
      <c r="K29" s="99"/>
      <c r="L29" s="99"/>
      <c r="M29" s="99"/>
      <c r="N29" s="98">
        <f t="shared" si="1"/>
        <v>0</v>
      </c>
      <c r="O29" s="152" t="str">
        <f t="shared" si="2"/>
        <v xml:space="preserve"> </v>
      </c>
    </row>
    <row r="30" spans="2:15" ht="15" customHeight="1" x14ac:dyDescent="0.2">
      <c r="B30" s="148"/>
      <c r="C30" s="99"/>
      <c r="D30" s="99"/>
      <c r="E30" s="99"/>
      <c r="F30" s="99"/>
      <c r="G30" s="99"/>
      <c r="H30" s="98">
        <f t="shared" si="0"/>
        <v>0</v>
      </c>
      <c r="I30" s="466"/>
      <c r="J30" s="99"/>
      <c r="K30" s="99"/>
      <c r="L30" s="99"/>
      <c r="M30" s="99"/>
      <c r="N30" s="98">
        <f t="shared" si="1"/>
        <v>0</v>
      </c>
      <c r="O30" s="152" t="str">
        <f t="shared" si="2"/>
        <v xml:space="preserve"> </v>
      </c>
    </row>
    <row r="31" spans="2:15" ht="15" customHeight="1" x14ac:dyDescent="0.2">
      <c r="B31" s="148"/>
      <c r="C31" s="99"/>
      <c r="D31" s="99"/>
      <c r="E31" s="99"/>
      <c r="F31" s="99"/>
      <c r="G31" s="99"/>
      <c r="H31" s="98">
        <f t="shared" si="0"/>
        <v>0</v>
      </c>
      <c r="I31" s="466"/>
      <c r="J31" s="99"/>
      <c r="K31" s="99"/>
      <c r="L31" s="99"/>
      <c r="M31" s="99"/>
      <c r="N31" s="98">
        <f t="shared" si="1"/>
        <v>0</v>
      </c>
      <c r="O31" s="152" t="str">
        <f t="shared" si="2"/>
        <v xml:space="preserve"> </v>
      </c>
    </row>
    <row r="32" spans="2:15" ht="15" customHeight="1" x14ac:dyDescent="0.2">
      <c r="B32" s="148"/>
      <c r="C32" s="99"/>
      <c r="D32" s="99"/>
      <c r="E32" s="99"/>
      <c r="F32" s="99"/>
      <c r="G32" s="99"/>
      <c r="H32" s="98">
        <f t="shared" si="0"/>
        <v>0</v>
      </c>
      <c r="I32" s="466"/>
      <c r="J32" s="99"/>
      <c r="K32" s="99"/>
      <c r="L32" s="99"/>
      <c r="M32" s="99"/>
      <c r="N32" s="98">
        <f t="shared" si="1"/>
        <v>0</v>
      </c>
      <c r="O32" s="152" t="str">
        <f t="shared" si="2"/>
        <v xml:space="preserve"> </v>
      </c>
    </row>
    <row r="33" spans="2:15" ht="15" customHeight="1" x14ac:dyDescent="0.2">
      <c r="B33" s="148"/>
      <c r="C33" s="99"/>
      <c r="D33" s="99"/>
      <c r="E33" s="99"/>
      <c r="F33" s="99"/>
      <c r="G33" s="99"/>
      <c r="H33" s="98">
        <f t="shared" si="0"/>
        <v>0</v>
      </c>
      <c r="I33" s="466"/>
      <c r="J33" s="99"/>
      <c r="K33" s="99"/>
      <c r="L33" s="99"/>
      <c r="M33" s="99"/>
      <c r="N33" s="98">
        <f t="shared" si="1"/>
        <v>0</v>
      </c>
      <c r="O33" s="152" t="str">
        <f t="shared" si="2"/>
        <v xml:space="preserve"> </v>
      </c>
    </row>
    <row r="34" spans="2:15" ht="15" customHeight="1" x14ac:dyDescent="0.2">
      <c r="B34" s="148"/>
      <c r="C34" s="99"/>
      <c r="D34" s="99"/>
      <c r="E34" s="99"/>
      <c r="F34" s="99"/>
      <c r="G34" s="99"/>
      <c r="H34" s="98">
        <f t="shared" si="0"/>
        <v>0</v>
      </c>
      <c r="I34" s="466"/>
      <c r="J34" s="99"/>
      <c r="K34" s="99"/>
      <c r="L34" s="99"/>
      <c r="M34" s="99"/>
      <c r="N34" s="98">
        <f t="shared" si="1"/>
        <v>0</v>
      </c>
      <c r="O34" s="152" t="str">
        <f t="shared" si="2"/>
        <v xml:space="preserve"> </v>
      </c>
    </row>
    <row r="35" spans="2:15" ht="15" customHeight="1" x14ac:dyDescent="0.2">
      <c r="B35" s="148"/>
      <c r="C35" s="99"/>
      <c r="D35" s="99"/>
      <c r="E35" s="99"/>
      <c r="F35" s="99"/>
      <c r="G35" s="99"/>
      <c r="H35" s="98">
        <f t="shared" si="0"/>
        <v>0</v>
      </c>
      <c r="I35" s="466"/>
      <c r="J35" s="99"/>
      <c r="K35" s="99"/>
      <c r="L35" s="99"/>
      <c r="M35" s="99"/>
      <c r="N35" s="98">
        <f t="shared" si="1"/>
        <v>0</v>
      </c>
      <c r="O35" s="152" t="str">
        <f t="shared" si="2"/>
        <v xml:space="preserve"> </v>
      </c>
    </row>
    <row r="36" spans="2:15" ht="15" customHeight="1" x14ac:dyDescent="0.2">
      <c r="B36" s="148"/>
      <c r="C36" s="99"/>
      <c r="D36" s="99"/>
      <c r="E36" s="99"/>
      <c r="F36" s="99"/>
      <c r="G36" s="99"/>
      <c r="H36" s="98">
        <f t="shared" si="0"/>
        <v>0</v>
      </c>
      <c r="I36" s="466"/>
      <c r="J36" s="99"/>
      <c r="K36" s="99"/>
      <c r="L36" s="99"/>
      <c r="M36" s="99"/>
      <c r="N36" s="98">
        <f t="shared" si="1"/>
        <v>0</v>
      </c>
      <c r="O36" s="152" t="str">
        <f t="shared" si="2"/>
        <v xml:space="preserve"> </v>
      </c>
    </row>
    <row r="37" spans="2:15" ht="15" customHeight="1" x14ac:dyDescent="0.2">
      <c r="B37" s="148"/>
      <c r="C37" s="99"/>
      <c r="D37" s="99"/>
      <c r="E37" s="99"/>
      <c r="F37" s="99">
        <v>200000</v>
      </c>
      <c r="G37" s="99"/>
      <c r="H37" s="98">
        <f t="shared" si="0"/>
        <v>200000</v>
      </c>
      <c r="I37" s="466"/>
      <c r="J37" s="99"/>
      <c r="K37" s="99"/>
      <c r="L37" s="99">
        <v>200000</v>
      </c>
      <c r="M37" s="99"/>
      <c r="N37" s="98">
        <f t="shared" si="1"/>
        <v>200000</v>
      </c>
      <c r="O37" s="152">
        <f t="shared" si="2"/>
        <v>0</v>
      </c>
    </row>
    <row r="38" spans="2:15" ht="15" customHeight="1" x14ac:dyDescent="0.2">
      <c r="B38" s="148"/>
      <c r="C38" s="465"/>
      <c r="D38" s="100"/>
      <c r="E38" s="100"/>
      <c r="F38" s="100"/>
      <c r="G38" s="100"/>
      <c r="H38" s="97">
        <f t="shared" si="0"/>
        <v>0</v>
      </c>
      <c r="I38" s="100"/>
      <c r="J38" s="100"/>
      <c r="K38" s="100"/>
      <c r="L38" s="100"/>
      <c r="M38" s="100"/>
      <c r="N38" s="97">
        <f t="shared" si="1"/>
        <v>0</v>
      </c>
      <c r="O38" s="153" t="str">
        <f t="shared" si="2"/>
        <v xml:space="preserve"> </v>
      </c>
    </row>
    <row r="39" spans="2:15" ht="15" x14ac:dyDescent="0.25">
      <c r="B39" s="154" t="s">
        <v>15</v>
      </c>
      <c r="C39" s="145">
        <f t="shared" ref="C39:N39" si="3">SUM(C9:C38)</f>
        <v>349</v>
      </c>
      <c r="D39" s="145">
        <f t="shared" si="3"/>
        <v>11173593.959999999</v>
      </c>
      <c r="E39" s="145">
        <f t="shared" si="3"/>
        <v>1009349.3</v>
      </c>
      <c r="F39" s="145">
        <f t="shared" si="3"/>
        <v>200000</v>
      </c>
      <c r="G39" s="145">
        <f t="shared" si="3"/>
        <v>3065465.5400000005</v>
      </c>
      <c r="H39" s="146">
        <f t="shared" si="3"/>
        <v>15448408.800000003</v>
      </c>
      <c r="I39" s="467">
        <f t="shared" si="3"/>
        <v>364</v>
      </c>
      <c r="J39" s="147">
        <f t="shared" si="3"/>
        <v>10474857</v>
      </c>
      <c r="K39" s="147">
        <f t="shared" si="3"/>
        <v>971772</v>
      </c>
      <c r="L39" s="147">
        <f t="shared" si="3"/>
        <v>200000</v>
      </c>
      <c r="M39" s="147">
        <f t="shared" si="3"/>
        <v>3105188.41</v>
      </c>
      <c r="N39" s="146">
        <f t="shared" si="3"/>
        <v>14751817.41</v>
      </c>
      <c r="O39" s="88">
        <f t="shared" si="2"/>
        <v>4.7220716650668182E-2</v>
      </c>
    </row>
    <row r="40" spans="2:15" ht="15.75" x14ac:dyDescent="0.25">
      <c r="B40" s="18"/>
      <c r="C40" s="19" t="s">
        <v>16</v>
      </c>
      <c r="D40" s="20"/>
      <c r="E40" s="20"/>
      <c r="F40" s="20"/>
      <c r="G40" s="20"/>
      <c r="H40" s="155">
        <v>150000</v>
      </c>
      <c r="I40" s="17" t="s">
        <v>16</v>
      </c>
      <c r="J40" s="20"/>
      <c r="K40" s="27"/>
      <c r="L40" s="28"/>
      <c r="M40" s="28"/>
      <c r="N40" s="155">
        <f>700000-141150-138024-1</f>
        <v>420825</v>
      </c>
      <c r="O40" s="89">
        <f>IF(H40=0," ",(H40/N40)-1)</f>
        <v>-0.64355729816432006</v>
      </c>
    </row>
    <row r="41" spans="2:15" ht="15.75" x14ac:dyDescent="0.25">
      <c r="B41" s="21"/>
      <c r="C41" s="22"/>
      <c r="D41" s="22"/>
      <c r="E41" s="22"/>
      <c r="F41" s="22"/>
      <c r="G41" s="22"/>
      <c r="H41" s="107"/>
      <c r="I41" s="23"/>
      <c r="J41" s="24"/>
      <c r="K41" s="22"/>
      <c r="L41" s="23"/>
      <c r="M41" s="109"/>
      <c r="N41" s="108"/>
      <c r="O41" s="26"/>
    </row>
    <row r="42" spans="2:15" ht="18.75" thickBot="1" x14ac:dyDescent="0.3">
      <c r="B42" s="25" t="s">
        <v>15</v>
      </c>
      <c r="C42" s="105"/>
      <c r="D42" s="106"/>
      <c r="E42" s="106"/>
      <c r="F42" s="106"/>
      <c r="G42" s="104"/>
      <c r="H42" s="410">
        <f>H39+H40</f>
        <v>15598408.800000003</v>
      </c>
      <c r="I42" s="110"/>
      <c r="J42" s="112"/>
      <c r="K42" s="112"/>
      <c r="L42" s="112"/>
      <c r="M42" s="111"/>
      <c r="N42" s="410">
        <f>N39+N40</f>
        <v>15172642.41</v>
      </c>
      <c r="O42" s="90">
        <f>IF(H42=0," ",(H42/N42)-1)</f>
        <v>2.806145287648687E-2</v>
      </c>
    </row>
    <row r="44" spans="2:15" x14ac:dyDescent="0.2">
      <c r="B44" s="403" t="s">
        <v>381</v>
      </c>
      <c r="C44" s="403"/>
      <c r="D44" s="403"/>
      <c r="E44" s="403"/>
      <c r="F44" s="403"/>
      <c r="G44" s="403"/>
      <c r="H44" s="403"/>
      <c r="I44" s="403"/>
      <c r="J44" s="403"/>
    </row>
    <row r="45" spans="2:15" x14ac:dyDescent="0.2">
      <c r="B45" t="s">
        <v>380</v>
      </c>
    </row>
    <row r="46" spans="2:15" x14ac:dyDescent="0.2">
      <c r="B46" t="s">
        <v>382</v>
      </c>
    </row>
    <row r="47" spans="2:15" ht="14.25" x14ac:dyDescent="0.2">
      <c r="H47" s="411"/>
      <c r="N47" s="411"/>
    </row>
    <row r="48" spans="2:15" ht="15" x14ac:dyDescent="0.2">
      <c r="B48" s="280" t="s">
        <v>281</v>
      </c>
    </row>
    <row r="49" spans="2:8" x14ac:dyDescent="0.2">
      <c r="B49" s="412" t="str">
        <f>IF(-H42=(PyG!F36+PyG!F37),"","EL TOTAL COSTE PRESUPUESTO NO COINCIDE CON LA SUMA DE SUELDOS Y SALARIOS + CARGAS SOCIALES DE PYG")</f>
        <v>EL TOTAL COSTE PRESUPUESTO NO COINCIDE CON LA SUMA DE SUELDOS Y SALARIOS + CARGAS SOCIALES DE PYG</v>
      </c>
      <c r="C49" s="413"/>
      <c r="D49" s="413"/>
      <c r="E49" s="413"/>
      <c r="F49" s="413"/>
      <c r="G49" s="414"/>
      <c r="H49" s="1"/>
    </row>
    <row r="50" spans="2:8" x14ac:dyDescent="0.2">
      <c r="B50" s="415" t="str">
        <f>IF(-N42=(PyG!E36+PyG!E37),"","EL TOTAL COSTE ESTIMADO NO COINCIDE CON LA SUMA DE SUELDOS Y SALARIOS + CARGAS SOCIALES DE PYG")</f>
        <v>EL TOTAL COSTE ESTIMADO NO COINCIDE CON LA SUMA DE SUELDOS Y SALARIOS + CARGAS SOCIALES DE PYG</v>
      </c>
      <c r="C50" s="416"/>
      <c r="D50" s="416"/>
      <c r="E50" s="416"/>
      <c r="F50" s="416"/>
      <c r="G50" s="417"/>
      <c r="H50" s="1"/>
    </row>
  </sheetData>
  <sheetProtection password="CEC8" sheet="1" objects="1" scenarios="1"/>
  <mergeCells count="2">
    <mergeCell ref="D7:H7"/>
    <mergeCell ref="J7:N7"/>
  </mergeCells>
  <phoneticPr fontId="0" type="noConversion"/>
  <conditionalFormatting sqref="H47">
    <cfRule type="cellIs" dxfId="7" priority="1" stopIfTrue="1" operator="notEqual">
      <formula>$H$42</formula>
    </cfRule>
  </conditionalFormatting>
  <conditionalFormatting sqref="N47">
    <cfRule type="cellIs" dxfId="6" priority="2" stopIfTrue="1" operator="notEqual">
      <formula>$N$42</formula>
    </cfRule>
  </conditionalFormatting>
  <pageMargins left="1.0629921259842521" right="0.74803149606299213" top="0.78740157480314965" bottom="0.98425196850393704" header="0" footer="0.39370078740157483"/>
  <pageSetup paperSize="9"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9"/>
  <sheetViews>
    <sheetView topLeftCell="A10" zoomScale="75" zoomScaleNormal="75" workbookViewId="0">
      <selection activeCell="I18" sqref="I18"/>
    </sheetView>
  </sheetViews>
  <sheetFormatPr baseColWidth="10" defaultRowHeight="12.75" x14ac:dyDescent="0.2"/>
  <cols>
    <col min="1" max="1" width="4" style="114" customWidth="1"/>
    <col min="2" max="2" width="40.85546875" style="114" customWidth="1"/>
    <col min="3" max="3" width="19.85546875" style="114" customWidth="1"/>
    <col min="4" max="4" width="21.85546875" style="114" customWidth="1"/>
    <col min="5" max="5" width="22.28515625" style="114" customWidth="1"/>
    <col min="6" max="7" width="19.140625" style="114" customWidth="1"/>
    <col min="8" max="8" width="19.7109375" style="114" customWidth="1"/>
    <col min="9" max="9" width="25.85546875" style="114" customWidth="1"/>
    <col min="10" max="10" width="20.7109375" style="114" customWidth="1"/>
    <col min="11" max="11" width="20" style="114" customWidth="1"/>
    <col min="12" max="14" width="11.42578125" style="114"/>
    <col min="15" max="15" width="11.42578125" style="114" hidden="1" customWidth="1"/>
    <col min="16" max="16" width="22.85546875" style="114" hidden="1" customWidth="1"/>
    <col min="17" max="16384" width="11.42578125" style="114"/>
  </cols>
  <sheetData>
    <row r="1" spans="2:14" ht="18" customHeight="1" thickBot="1" x14ac:dyDescent="0.25"/>
    <row r="2" spans="2:14" ht="16.5" customHeight="1" thickTop="1" thickBot="1" x14ac:dyDescent="0.3">
      <c r="B2" s="2" t="str">
        <f>PyG!B4</f>
        <v>PRESUPUESTO 2013</v>
      </c>
      <c r="C2" s="115"/>
      <c r="D2" s="115"/>
      <c r="E2" s="115"/>
      <c r="F2" s="115" t="s">
        <v>61</v>
      </c>
      <c r="G2" s="115"/>
      <c r="H2" s="115"/>
      <c r="I2" s="115"/>
      <c r="J2" s="3" t="s">
        <v>456</v>
      </c>
      <c r="K2" s="115"/>
      <c r="L2" s="115"/>
      <c r="M2" s="115"/>
      <c r="N2" s="115"/>
    </row>
    <row r="3" spans="2:14" ht="18.75" thickTop="1" x14ac:dyDescent="0.25">
      <c r="B3" s="4" t="str">
        <f>PyG!B5</f>
        <v>CENTRO: 701</v>
      </c>
      <c r="C3" s="116"/>
      <c r="E3" s="542" t="s">
        <v>62</v>
      </c>
      <c r="F3" s="542"/>
      <c r="G3" s="542"/>
    </row>
    <row r="4" spans="2:14" ht="15.75" x14ac:dyDescent="0.25">
      <c r="B4" s="4" t="str">
        <f>PyG!B6</f>
        <v>SECCION: 035</v>
      </c>
      <c r="C4" s="116"/>
      <c r="F4" s="117"/>
      <c r="I4" s="118"/>
    </row>
    <row r="5" spans="2:14" ht="15.75" x14ac:dyDescent="0.25">
      <c r="B5" s="4" t="str">
        <f>PyG!B7</f>
        <v>SOCIEDAD: EMPRESA MUNICIPAL DE LA VIVIENDA Y SUELO DE MADRID S.A.</v>
      </c>
      <c r="C5" s="116"/>
      <c r="F5" s="117"/>
      <c r="I5" s="118"/>
      <c r="J5" s="119"/>
    </row>
    <row r="6" spans="2:14" ht="7.5" customHeight="1" thickBot="1" x14ac:dyDescent="0.3">
      <c r="B6" s="4"/>
      <c r="C6" s="116"/>
      <c r="F6" s="117"/>
      <c r="I6" s="118"/>
      <c r="J6" s="119"/>
    </row>
    <row r="7" spans="2:14" ht="27.75" customHeight="1" thickBot="1" x14ac:dyDescent="0.25">
      <c r="B7" s="520" t="s">
        <v>36</v>
      </c>
      <c r="C7" s="521"/>
      <c r="D7" s="521"/>
      <c r="E7" s="521"/>
      <c r="F7" s="521"/>
      <c r="G7" s="521"/>
      <c r="H7" s="521"/>
      <c r="I7" s="521"/>
      <c r="J7" s="522"/>
    </row>
    <row r="8" spans="2:14" ht="12.75" customHeight="1" x14ac:dyDescent="0.2">
      <c r="B8" s="529" t="s">
        <v>41</v>
      </c>
      <c r="C8" s="532" t="s">
        <v>42</v>
      </c>
      <c r="D8" s="532" t="s">
        <v>43</v>
      </c>
      <c r="E8" s="532" t="s">
        <v>44</v>
      </c>
      <c r="F8" s="535" t="s">
        <v>45</v>
      </c>
      <c r="G8" s="442" t="s">
        <v>37</v>
      </c>
      <c r="H8" s="442" t="s">
        <v>38</v>
      </c>
      <c r="I8" s="442" t="s">
        <v>39</v>
      </c>
      <c r="J8" s="443" t="s">
        <v>40</v>
      </c>
    </row>
    <row r="9" spans="2:14" ht="27.75" customHeight="1" x14ac:dyDescent="0.2">
      <c r="B9" s="530"/>
      <c r="C9" s="533"/>
      <c r="D9" s="533"/>
      <c r="E9" s="533"/>
      <c r="F9" s="536"/>
      <c r="G9" s="444"/>
      <c r="H9" s="533" t="s">
        <v>458</v>
      </c>
      <c r="I9" s="545" t="s">
        <v>459</v>
      </c>
      <c r="J9" s="538" t="s">
        <v>460</v>
      </c>
    </row>
    <row r="10" spans="2:14" ht="90.75" customHeight="1" thickBot="1" x14ac:dyDescent="0.25">
      <c r="B10" s="531"/>
      <c r="C10" s="534"/>
      <c r="D10" s="534"/>
      <c r="E10" s="534"/>
      <c r="F10" s="537"/>
      <c r="G10" s="445" t="s">
        <v>457</v>
      </c>
      <c r="H10" s="534"/>
      <c r="I10" s="546"/>
      <c r="J10" s="539"/>
    </row>
    <row r="11" spans="2:14" ht="20.100000000000001" customHeight="1" thickTop="1" x14ac:dyDescent="0.2">
      <c r="B11" s="156" t="s">
        <v>493</v>
      </c>
      <c r="C11" s="157"/>
      <c r="D11" s="484">
        <v>40624</v>
      </c>
      <c r="E11" s="484">
        <v>43215</v>
      </c>
      <c r="F11" s="158">
        <v>10000000</v>
      </c>
      <c r="G11" s="158">
        <v>10000000</v>
      </c>
      <c r="H11" s="158"/>
      <c r="I11" s="158">
        <v>1333333.3600000001</v>
      </c>
      <c r="J11" s="158">
        <f t="shared" ref="J11:J16" si="0">G11+H11-I11</f>
        <v>8666666.6400000006</v>
      </c>
    </row>
    <row r="12" spans="2:14" ht="20.100000000000001" customHeight="1" x14ac:dyDescent="0.2">
      <c r="B12" s="156" t="s">
        <v>491</v>
      </c>
      <c r="C12" s="157"/>
      <c r="D12" s="484">
        <v>39800</v>
      </c>
      <c r="E12" s="484">
        <v>42356</v>
      </c>
      <c r="F12" s="158">
        <v>40000000</v>
      </c>
      <c r="G12" s="158">
        <v>30000000</v>
      </c>
      <c r="H12" s="158"/>
      <c r="I12" s="158">
        <v>10000000</v>
      </c>
      <c r="J12" s="158">
        <f t="shared" si="0"/>
        <v>20000000</v>
      </c>
    </row>
    <row r="13" spans="2:14" ht="20.100000000000001" customHeight="1" x14ac:dyDescent="0.2">
      <c r="B13" s="156" t="s">
        <v>492</v>
      </c>
      <c r="C13" s="157"/>
      <c r="D13" s="484">
        <v>39773</v>
      </c>
      <c r="E13" s="484">
        <v>41599</v>
      </c>
      <c r="F13" s="158">
        <v>7000000</v>
      </c>
      <c r="G13" s="158">
        <v>5400000</v>
      </c>
      <c r="H13" s="158"/>
      <c r="I13" s="158"/>
      <c r="J13" s="158">
        <f t="shared" si="0"/>
        <v>5400000</v>
      </c>
    </row>
    <row r="14" spans="2:14" ht="20.100000000000001" customHeight="1" x14ac:dyDescent="0.2">
      <c r="B14" s="156" t="s">
        <v>490</v>
      </c>
      <c r="C14" s="157"/>
      <c r="D14" s="484">
        <v>41073</v>
      </c>
      <c r="E14" s="484">
        <v>43656</v>
      </c>
      <c r="F14" s="158">
        <v>7000000</v>
      </c>
      <c r="G14" s="158">
        <v>7000000</v>
      </c>
      <c r="H14" s="158"/>
      <c r="I14" s="158">
        <v>241102.92</v>
      </c>
      <c r="J14" s="158">
        <f t="shared" si="0"/>
        <v>6758897.0800000001</v>
      </c>
    </row>
    <row r="15" spans="2:14" ht="20.100000000000001" customHeight="1" x14ac:dyDescent="0.2">
      <c r="B15" s="156" t="s">
        <v>490</v>
      </c>
      <c r="C15" s="157"/>
      <c r="D15" s="484">
        <v>41073</v>
      </c>
      <c r="E15" s="484">
        <v>43656</v>
      </c>
      <c r="F15" s="158">
        <v>7000000</v>
      </c>
      <c r="G15" s="158">
        <v>7000000</v>
      </c>
      <c r="H15" s="158"/>
      <c r="I15" s="158">
        <v>486111.15</v>
      </c>
      <c r="J15" s="158">
        <f t="shared" si="0"/>
        <v>6513888.8499999996</v>
      </c>
    </row>
    <row r="16" spans="2:14" ht="20.100000000000001" customHeight="1" x14ac:dyDescent="0.2">
      <c r="B16" s="159" t="s">
        <v>492</v>
      </c>
      <c r="C16" s="160"/>
      <c r="D16" s="485">
        <v>38856</v>
      </c>
      <c r="E16" s="485">
        <v>41778</v>
      </c>
      <c r="F16" s="161">
        <v>2700352.31</v>
      </c>
      <c r="G16" s="161">
        <v>261194.08</v>
      </c>
      <c r="H16" s="161"/>
      <c r="I16" s="158"/>
      <c r="J16" s="158">
        <f t="shared" si="0"/>
        <v>261194.08</v>
      </c>
    </row>
    <row r="17" spans="2:16" ht="20.100000000000001" customHeight="1" thickBot="1" x14ac:dyDescent="0.25">
      <c r="B17" s="543" t="s">
        <v>46</v>
      </c>
      <c r="C17" s="543"/>
      <c r="D17" s="543"/>
      <c r="E17" s="544"/>
      <c r="F17" s="162">
        <f>SUM(F11:F16)</f>
        <v>73700352.310000002</v>
      </c>
      <c r="G17" s="162">
        <f>SUM(G11:G16)</f>
        <v>59661194.079999998</v>
      </c>
      <c r="H17" s="348">
        <f>SUM(H11:H16)</f>
        <v>0</v>
      </c>
      <c r="I17" s="348">
        <f>SUM(I11:I16)</f>
        <v>12060547.43</v>
      </c>
      <c r="J17" s="348">
        <f>SUM(J11:J16)</f>
        <v>47600646.649999999</v>
      </c>
    </row>
    <row r="18" spans="2:16" ht="20.100000000000001" customHeight="1" thickTop="1" x14ac:dyDescent="0.2">
      <c r="B18" s="159" t="s">
        <v>492</v>
      </c>
      <c r="C18" s="160"/>
      <c r="D18" s="485">
        <v>40963</v>
      </c>
      <c r="E18" s="485">
        <v>41334</v>
      </c>
      <c r="F18" s="161">
        <v>3000000</v>
      </c>
      <c r="G18" s="486">
        <v>1256573.47</v>
      </c>
      <c r="H18" s="161"/>
      <c r="I18" s="487">
        <v>765966.58</v>
      </c>
      <c r="J18" s="346">
        <f>G18+H18-I18</f>
        <v>490606.89</v>
      </c>
    </row>
    <row r="19" spans="2:16" ht="20.100000000000001" customHeight="1" x14ac:dyDescent="0.2">
      <c r="B19" s="159"/>
      <c r="C19" s="160"/>
      <c r="D19" s="160"/>
      <c r="E19" s="160"/>
      <c r="F19" s="161"/>
      <c r="G19" s="161"/>
      <c r="H19" s="161"/>
      <c r="I19" s="349"/>
      <c r="J19" s="350"/>
    </row>
    <row r="20" spans="2:16" ht="20.100000000000001" customHeight="1" x14ac:dyDescent="0.2">
      <c r="B20" s="159"/>
      <c r="C20" s="160"/>
      <c r="D20" s="160"/>
      <c r="E20" s="160"/>
      <c r="F20" s="161"/>
      <c r="G20" s="161"/>
      <c r="H20" s="161"/>
      <c r="I20" s="349"/>
      <c r="J20" s="350"/>
    </row>
    <row r="21" spans="2:16" ht="20.100000000000001" customHeight="1" thickBot="1" x14ac:dyDescent="0.25">
      <c r="B21" s="540" t="s">
        <v>47</v>
      </c>
      <c r="C21" s="540"/>
      <c r="D21" s="540"/>
      <c r="E21" s="541"/>
      <c r="F21" s="163">
        <f>SUM(F18:F20)</f>
        <v>3000000</v>
      </c>
      <c r="G21" s="162">
        <f>SUM(G18:G20)</f>
        <v>1256573.47</v>
      </c>
      <c r="H21" s="351">
        <f>SUM(H18:H20)</f>
        <v>0</v>
      </c>
      <c r="I21" s="351">
        <f>SUM(I18:I20)</f>
        <v>765966.58</v>
      </c>
      <c r="J21" s="352">
        <f>SUM(J18:J20)</f>
        <v>490606.89</v>
      </c>
    </row>
    <row r="22" spans="2:16" ht="27" customHeight="1" thickBot="1" x14ac:dyDescent="0.25">
      <c r="E22" s="121" t="s">
        <v>48</v>
      </c>
      <c r="F22" s="122">
        <f>F17+F21</f>
        <v>76700352.310000002</v>
      </c>
      <c r="G22" s="122">
        <f>G17+G21</f>
        <v>60917767.549999997</v>
      </c>
      <c r="H22" s="353">
        <f>H17+H21</f>
        <v>0</v>
      </c>
      <c r="I22" s="354">
        <f>I17+I21</f>
        <v>12826514.01</v>
      </c>
      <c r="J22" s="355">
        <f>J17+J21</f>
        <v>48091253.539999999</v>
      </c>
      <c r="K22" s="358"/>
      <c r="P22" s="367">
        <f>G22+H22-I22</f>
        <v>48091253.539999999</v>
      </c>
    </row>
    <row r="23" spans="2:16" ht="13.5" customHeight="1" x14ac:dyDescent="0.2">
      <c r="B23" s="123"/>
      <c r="F23" s="124"/>
      <c r="G23" s="125"/>
    </row>
    <row r="24" spans="2:16" ht="13.5" customHeight="1" thickBot="1" x14ac:dyDescent="0.3">
      <c r="B24" s="127"/>
      <c r="F24" s="128"/>
      <c r="G24" s="126"/>
      <c r="J24" s="119"/>
    </row>
    <row r="25" spans="2:16" ht="27.75" customHeight="1" thickBot="1" x14ac:dyDescent="0.25">
      <c r="B25" s="520" t="s">
        <v>49</v>
      </c>
      <c r="C25" s="521"/>
      <c r="D25" s="521"/>
      <c r="E25" s="521"/>
      <c r="F25" s="521"/>
      <c r="G25" s="521"/>
      <c r="H25" s="521"/>
      <c r="I25" s="521"/>
      <c r="J25" s="522"/>
      <c r="K25" s="129"/>
    </row>
    <row r="26" spans="2:16" ht="12.75" customHeight="1" x14ac:dyDescent="0.2">
      <c r="B26" s="523" t="s">
        <v>41</v>
      </c>
      <c r="C26" s="525" t="s">
        <v>50</v>
      </c>
      <c r="D26" s="525" t="s">
        <v>43</v>
      </c>
      <c r="E26" s="525" t="s">
        <v>44</v>
      </c>
      <c r="F26" s="527" t="s">
        <v>45</v>
      </c>
      <c r="G26" s="130" t="s">
        <v>37</v>
      </c>
      <c r="H26" s="131" t="s">
        <v>38</v>
      </c>
      <c r="I26" s="131" t="s">
        <v>39</v>
      </c>
      <c r="J26" s="132" t="str">
        <f>+J8</f>
        <v>(D)=(A)+(B)-(C)</v>
      </c>
      <c r="K26" s="133"/>
    </row>
    <row r="27" spans="2:16" ht="44.25" customHeight="1" thickBot="1" x14ac:dyDescent="0.25">
      <c r="B27" s="524"/>
      <c r="C27" s="526"/>
      <c r="D27" s="526"/>
      <c r="E27" s="526"/>
      <c r="F27" s="528"/>
      <c r="G27" s="120" t="s">
        <v>461</v>
      </c>
      <c r="H27" s="120" t="s">
        <v>462</v>
      </c>
      <c r="I27" s="165" t="s">
        <v>463</v>
      </c>
      <c r="J27" s="134" t="s">
        <v>464</v>
      </c>
    </row>
    <row r="28" spans="2:16" ht="20.100000000000001" customHeight="1" thickTop="1" x14ac:dyDescent="0.2">
      <c r="B28" s="156" t="s">
        <v>494</v>
      </c>
      <c r="C28" s="157"/>
      <c r="D28" s="484">
        <v>35384</v>
      </c>
      <c r="E28" s="484">
        <v>42277</v>
      </c>
      <c r="F28" s="158">
        <v>11677577</v>
      </c>
      <c r="G28" s="158">
        <v>934626.82</v>
      </c>
      <c r="H28" s="158"/>
      <c r="I28" s="158">
        <v>403423.05</v>
      </c>
      <c r="J28" s="347">
        <f>G28+H28-I28</f>
        <v>531203.77</v>
      </c>
    </row>
    <row r="29" spans="2:16" ht="20.100000000000001" customHeight="1" x14ac:dyDescent="0.2">
      <c r="B29" s="159" t="s">
        <v>495</v>
      </c>
      <c r="C29" s="160"/>
      <c r="D29" s="485">
        <v>35384</v>
      </c>
      <c r="E29" s="485">
        <v>41912</v>
      </c>
      <c r="F29" s="161">
        <v>6341208</v>
      </c>
      <c r="G29" s="161">
        <v>782526.79</v>
      </c>
      <c r="H29" s="161"/>
      <c r="I29" s="161">
        <v>531203.78</v>
      </c>
      <c r="J29" s="347">
        <f>G29+H29-I29</f>
        <v>251323.01</v>
      </c>
    </row>
    <row r="30" spans="2:16" ht="20.100000000000001" customHeight="1" x14ac:dyDescent="0.2">
      <c r="B30" s="159"/>
      <c r="C30" s="160"/>
      <c r="D30" s="160"/>
      <c r="E30" s="160"/>
      <c r="F30" s="161"/>
      <c r="G30" s="161"/>
      <c r="H30" s="161"/>
      <c r="I30" s="161"/>
      <c r="J30" s="350"/>
      <c r="L30" s="358"/>
    </row>
    <row r="31" spans="2:16" ht="20.100000000000001" customHeight="1" x14ac:dyDescent="0.2">
      <c r="B31" s="159"/>
      <c r="C31" s="160"/>
      <c r="D31" s="160"/>
      <c r="E31" s="160"/>
      <c r="F31" s="161"/>
      <c r="G31" s="161"/>
      <c r="H31" s="161"/>
      <c r="I31" s="161"/>
      <c r="J31" s="350"/>
    </row>
    <row r="32" spans="2:16" ht="20.100000000000001" customHeight="1" x14ac:dyDescent="0.2">
      <c r="B32" s="543" t="s">
        <v>46</v>
      </c>
      <c r="C32" s="543"/>
      <c r="D32" s="543"/>
      <c r="E32" s="544"/>
      <c r="F32" s="162">
        <f>SUM(F28:F31)</f>
        <v>18018785</v>
      </c>
      <c r="G32" s="162">
        <f>SUM(G28:G31)</f>
        <v>1717153.6099999999</v>
      </c>
      <c r="H32" s="162">
        <f>SUM(H28:H31)</f>
        <v>0</v>
      </c>
      <c r="I32" s="162">
        <f>SUM(I28:I31)</f>
        <v>934626.83000000007</v>
      </c>
      <c r="J32" s="356">
        <f>SUM(J28:J31)</f>
        <v>782526.78</v>
      </c>
    </row>
    <row r="33" spans="2:16" ht="20.100000000000001" customHeight="1" x14ac:dyDescent="0.2">
      <c r="B33" s="159"/>
      <c r="C33" s="160"/>
      <c r="D33" s="160"/>
      <c r="E33" s="160"/>
      <c r="F33" s="161"/>
      <c r="G33" s="161"/>
      <c r="H33" s="161"/>
      <c r="I33" s="161"/>
      <c r="J33" s="350"/>
    </row>
    <row r="34" spans="2:16" ht="20.100000000000001" customHeight="1" x14ac:dyDescent="0.2">
      <c r="B34" s="159" t="s">
        <v>514</v>
      </c>
      <c r="C34" s="160"/>
      <c r="D34" s="160"/>
      <c r="E34" s="160"/>
      <c r="F34" s="161"/>
      <c r="G34" s="161">
        <v>27774798</v>
      </c>
      <c r="H34" s="161"/>
      <c r="I34" s="161"/>
      <c r="J34" s="350">
        <f>+G34</f>
        <v>27774798</v>
      </c>
    </row>
    <row r="35" spans="2:16" ht="20.100000000000001" customHeight="1" x14ac:dyDescent="0.2">
      <c r="B35" s="159"/>
      <c r="C35" s="160"/>
      <c r="D35" s="160"/>
      <c r="E35" s="160"/>
      <c r="F35" s="161"/>
      <c r="G35" s="161"/>
      <c r="H35" s="161"/>
      <c r="I35" s="161"/>
      <c r="J35" s="350"/>
    </row>
    <row r="36" spans="2:16" ht="20.100000000000001" customHeight="1" x14ac:dyDescent="0.2">
      <c r="B36" s="159"/>
      <c r="C36" s="160"/>
      <c r="D36" s="160"/>
      <c r="E36" s="160"/>
      <c r="F36" s="161"/>
      <c r="G36" s="161"/>
      <c r="H36" s="161"/>
      <c r="I36" s="161"/>
      <c r="J36" s="350"/>
      <c r="K36" s="133"/>
    </row>
    <row r="37" spans="2:16" ht="20.100000000000001" customHeight="1" thickBot="1" x14ac:dyDescent="0.25">
      <c r="B37" s="540" t="s">
        <v>47</v>
      </c>
      <c r="C37" s="540"/>
      <c r="D37" s="540"/>
      <c r="E37" s="544"/>
      <c r="F37" s="163">
        <f>SUM(F33:F36)</f>
        <v>0</v>
      </c>
      <c r="G37" s="163">
        <f>SUM(G33:G36)</f>
        <v>27774798</v>
      </c>
      <c r="H37" s="163">
        <f>SUM(H33:H36)</f>
        <v>0</v>
      </c>
      <c r="I37" s="164">
        <f>SUM(I33:I36)</f>
        <v>0</v>
      </c>
      <c r="J37" s="357">
        <f>SUM(J33:J36)</f>
        <v>27774798</v>
      </c>
      <c r="K37" s="135"/>
    </row>
    <row r="38" spans="2:16" ht="27" customHeight="1" thickBot="1" x14ac:dyDescent="0.25">
      <c r="B38" s="133"/>
      <c r="C38" s="133"/>
      <c r="D38" s="136"/>
      <c r="E38" s="121" t="s">
        <v>48</v>
      </c>
      <c r="F38" s="137">
        <f>F32+F37</f>
        <v>18018785</v>
      </c>
      <c r="G38" s="122">
        <f>G32+G37</f>
        <v>29491951.609999999</v>
      </c>
      <c r="H38" s="138">
        <f>H32+H37</f>
        <v>0</v>
      </c>
      <c r="I38" s="122">
        <f>I32+I37</f>
        <v>934626.83000000007</v>
      </c>
      <c r="J38" s="355">
        <f>J32+J37</f>
        <v>28557324.780000001</v>
      </c>
      <c r="K38" s="133"/>
      <c r="P38" s="367">
        <f>G38+H38-I38</f>
        <v>28557324.780000001</v>
      </c>
    </row>
    <row r="40" spans="2:16" ht="13.5" thickBot="1" x14ac:dyDescent="0.25"/>
    <row r="41" spans="2:16" ht="27.75" customHeight="1" thickBot="1" x14ac:dyDescent="0.25">
      <c r="B41" s="520" t="s">
        <v>468</v>
      </c>
      <c r="C41" s="521"/>
      <c r="D41" s="521"/>
      <c r="E41" s="521"/>
      <c r="F41" s="521"/>
      <c r="G41" s="521"/>
      <c r="H41" s="521"/>
      <c r="I41" s="521"/>
      <c r="J41" s="522"/>
      <c r="K41" s="129"/>
    </row>
    <row r="42" spans="2:16" ht="12.75" customHeight="1" x14ac:dyDescent="0.2">
      <c r="B42" s="523" t="s">
        <v>469</v>
      </c>
      <c r="C42" s="525" t="s">
        <v>470</v>
      </c>
      <c r="D42" s="525" t="s">
        <v>43</v>
      </c>
      <c r="E42" s="525" t="s">
        <v>44</v>
      </c>
      <c r="F42" s="527" t="s">
        <v>471</v>
      </c>
      <c r="G42" s="130" t="s">
        <v>37</v>
      </c>
      <c r="H42" s="131" t="s">
        <v>38</v>
      </c>
      <c r="I42" s="131" t="s">
        <v>39</v>
      </c>
      <c r="J42" s="132" t="str">
        <f>+J27</f>
        <v>CAPITAL VIVO PREVISTO 31/12/2013</v>
      </c>
      <c r="K42" s="133"/>
    </row>
    <row r="43" spans="2:16" ht="44.25" customHeight="1" thickBot="1" x14ac:dyDescent="0.25">
      <c r="B43" s="524"/>
      <c r="C43" s="526"/>
      <c r="D43" s="526"/>
      <c r="E43" s="526"/>
      <c r="F43" s="528"/>
      <c r="G43" s="120" t="s">
        <v>461</v>
      </c>
      <c r="H43" s="120" t="s">
        <v>462</v>
      </c>
      <c r="I43" s="165" t="s">
        <v>463</v>
      </c>
      <c r="J43" s="134" t="s">
        <v>464</v>
      </c>
    </row>
    <row r="44" spans="2:16" ht="20.100000000000001" customHeight="1" thickTop="1" x14ac:dyDescent="0.2">
      <c r="B44" s="156"/>
      <c r="C44" s="157"/>
      <c r="D44" s="157"/>
      <c r="E44" s="157"/>
      <c r="F44" s="158"/>
      <c r="G44" s="158"/>
      <c r="H44" s="158"/>
      <c r="I44" s="158"/>
      <c r="J44" s="347"/>
    </row>
    <row r="45" spans="2:16" ht="20.100000000000001" customHeight="1" x14ac:dyDescent="0.2">
      <c r="B45" s="156"/>
      <c r="C45" s="157"/>
      <c r="D45" s="157"/>
      <c r="E45" s="157"/>
      <c r="F45" s="158"/>
      <c r="G45" s="158"/>
      <c r="H45" s="158"/>
      <c r="I45" s="158"/>
      <c r="J45" s="347"/>
    </row>
    <row r="46" spans="2:16" ht="20.100000000000001" customHeight="1" x14ac:dyDescent="0.2">
      <c r="B46" s="156"/>
      <c r="C46" s="157"/>
      <c r="D46" s="157"/>
      <c r="E46" s="157"/>
      <c r="F46" s="158"/>
      <c r="G46" s="158"/>
      <c r="H46" s="158"/>
      <c r="I46" s="158"/>
      <c r="J46" s="347"/>
    </row>
    <row r="47" spans="2:16" ht="20.100000000000001" customHeight="1" x14ac:dyDescent="0.2">
      <c r="B47" s="156"/>
      <c r="C47" s="157"/>
      <c r="D47" s="157"/>
      <c r="E47" s="157"/>
      <c r="F47" s="158"/>
      <c r="G47" s="158"/>
      <c r="H47" s="158"/>
      <c r="I47" s="158"/>
      <c r="J47" s="347"/>
    </row>
    <row r="48" spans="2:16" ht="20.100000000000001" customHeight="1" x14ac:dyDescent="0.2">
      <c r="B48" s="156"/>
      <c r="C48" s="157"/>
      <c r="D48" s="157"/>
      <c r="E48" s="157"/>
      <c r="F48" s="158"/>
      <c r="G48" s="158"/>
      <c r="H48" s="158"/>
      <c r="I48" s="158"/>
      <c r="J48" s="347"/>
    </row>
    <row r="49" spans="2:16" ht="20.100000000000001" customHeight="1" x14ac:dyDescent="0.2">
      <c r="B49" s="156"/>
      <c r="C49" s="157"/>
      <c r="D49" s="157"/>
      <c r="E49" s="157"/>
      <c r="F49" s="158"/>
      <c r="G49" s="158"/>
      <c r="H49" s="158"/>
      <c r="I49" s="158"/>
      <c r="J49" s="347"/>
    </row>
    <row r="50" spans="2:16" ht="20.100000000000001" customHeight="1" x14ac:dyDescent="0.2">
      <c r="B50" s="156"/>
      <c r="C50" s="157"/>
      <c r="D50" s="157"/>
      <c r="E50" s="157"/>
      <c r="F50" s="158"/>
      <c r="G50" s="158"/>
      <c r="H50" s="158"/>
      <c r="I50" s="158"/>
      <c r="J50" s="347"/>
    </row>
    <row r="51" spans="2:16" ht="20.100000000000001" customHeight="1" x14ac:dyDescent="0.2">
      <c r="B51" s="159"/>
      <c r="C51" s="160"/>
      <c r="D51" s="160"/>
      <c r="E51" s="160"/>
      <c r="F51" s="161"/>
      <c r="G51" s="161"/>
      <c r="H51" s="161"/>
      <c r="I51" s="161"/>
      <c r="J51" s="350"/>
    </row>
    <row r="52" spans="2:16" ht="20.100000000000001" customHeight="1" x14ac:dyDescent="0.2">
      <c r="B52" s="159"/>
      <c r="C52" s="160"/>
      <c r="D52" s="160"/>
      <c r="E52" s="160"/>
      <c r="F52" s="161"/>
      <c r="G52" s="161"/>
      <c r="H52" s="161"/>
      <c r="I52" s="161"/>
      <c r="J52" s="350"/>
    </row>
    <row r="53" spans="2:16" ht="20.100000000000001" customHeight="1" thickBot="1" x14ac:dyDescent="0.25">
      <c r="B53" s="159"/>
      <c r="C53" s="160"/>
      <c r="D53" s="160"/>
      <c r="E53" s="473"/>
      <c r="F53" s="474"/>
      <c r="G53" s="474"/>
      <c r="H53" s="474"/>
      <c r="I53" s="474"/>
      <c r="J53" s="475"/>
    </row>
    <row r="54" spans="2:16" ht="27.75" customHeight="1" thickBot="1" x14ac:dyDescent="0.25">
      <c r="B54" s="471"/>
      <c r="C54" s="471"/>
      <c r="D54" s="472"/>
      <c r="E54" s="121" t="s">
        <v>48</v>
      </c>
      <c r="F54" s="122">
        <f>SUM(F44:F53)</f>
        <v>0</v>
      </c>
      <c r="G54" s="122">
        <f>SUM(G44:G53)</f>
        <v>0</v>
      </c>
      <c r="H54" s="122">
        <f>SUM(H44:H53)</f>
        <v>0</v>
      </c>
      <c r="I54" s="122">
        <f>SUM(I44:I53)</f>
        <v>0</v>
      </c>
      <c r="J54" s="355">
        <f>SUM(J44:J53)</f>
        <v>0</v>
      </c>
      <c r="P54" s="367">
        <f>G54+H54-I54</f>
        <v>0</v>
      </c>
    </row>
    <row r="57" spans="2:16" ht="16.5" x14ac:dyDescent="0.3">
      <c r="B57" s="461" t="s">
        <v>432</v>
      </c>
      <c r="I57" s="358"/>
    </row>
    <row r="58" spans="2:16" ht="16.5" x14ac:dyDescent="0.3">
      <c r="B58" s="461" t="s">
        <v>433</v>
      </c>
    </row>
    <row r="59" spans="2:16" ht="16.5" x14ac:dyDescent="0.3">
      <c r="B59" s="461" t="s">
        <v>434</v>
      </c>
    </row>
  </sheetData>
  <mergeCells count="26">
    <mergeCell ref="B37:E37"/>
    <mergeCell ref="B26:B27"/>
    <mergeCell ref="C26:C27"/>
    <mergeCell ref="D26:D27"/>
    <mergeCell ref="E26:E27"/>
    <mergeCell ref="B32:E32"/>
    <mergeCell ref="J9:J10"/>
    <mergeCell ref="B25:J25"/>
    <mergeCell ref="H9:H10"/>
    <mergeCell ref="B21:E21"/>
    <mergeCell ref="E3:G3"/>
    <mergeCell ref="B7:J7"/>
    <mergeCell ref="B17:E17"/>
    <mergeCell ref="I9:I10"/>
    <mergeCell ref="F26:F27"/>
    <mergeCell ref="B8:B10"/>
    <mergeCell ref="C8:C10"/>
    <mergeCell ref="D8:D10"/>
    <mergeCell ref="E8:E10"/>
    <mergeCell ref="F8:F10"/>
    <mergeCell ref="B41:J41"/>
    <mergeCell ref="B42:B43"/>
    <mergeCell ref="C42:C43"/>
    <mergeCell ref="D42:D43"/>
    <mergeCell ref="E42:E43"/>
    <mergeCell ref="F42:F43"/>
  </mergeCells>
  <phoneticPr fontId="0" type="noConversion"/>
  <conditionalFormatting sqref="J22">
    <cfRule type="cellIs" dxfId="5" priority="1" stopIfTrue="1" operator="notEqual">
      <formula>$P$22</formula>
    </cfRule>
  </conditionalFormatting>
  <conditionalFormatting sqref="J38">
    <cfRule type="cellIs" dxfId="4" priority="2" stopIfTrue="1" operator="notEqual">
      <formula>$P$38</formula>
    </cfRule>
  </conditionalFormatting>
  <conditionalFormatting sqref="J54">
    <cfRule type="cellIs" dxfId="3" priority="3" stopIfTrue="1" operator="notEqual">
      <formula>$P$54</formula>
    </cfRule>
  </conditionalFormatting>
  <printOptions horizontalCentered="1" verticalCentered="1"/>
  <pageMargins left="0.75" right="0.75" top="1" bottom="1" header="0" footer="0"/>
  <pageSetup paperSize="9" scale="53" orientation="landscape" r:id="rId1"/>
  <headerFooter alignWithMargins="0"/>
  <rowBreaks count="1" manualBreakCount="1">
    <brk id="39" min="1"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2039BF1ACBB6242A05B31B4AC89E4F2" ma:contentTypeVersion="2" ma:contentTypeDescription="Crear nuevo documento." ma:contentTypeScope="" ma:versionID="2ac57bf128d97e3e13e46525a1e254a2">
  <xsd:schema xmlns:xsd="http://www.w3.org/2001/XMLSchema" xmlns:xs="http://www.w3.org/2001/XMLSchema" xmlns:p="http://schemas.microsoft.com/office/2006/metadata/properties" xmlns:ns1="e4b73361-b4d4-4302-9756-11c2890942ab" xmlns:ns2="http://schemas.microsoft.com/sharepoint/v3" targetNamespace="http://schemas.microsoft.com/office/2006/metadata/properties" ma:root="true" ma:fieldsID="273ea9e25f12efe34d3b73f8c338c818" ns1:_="" ns2:_="">
    <xsd:import namespace="e4b73361-b4d4-4302-9756-11c2890942ab"/>
    <xsd:import namespace="http://schemas.microsoft.com/sharepoint/v3"/>
    <xsd:element name="properties">
      <xsd:complexType>
        <xsd:sequence>
          <xsd:element name="documentManagement">
            <xsd:complexType>
              <xsd:all>
                <xsd:element ref="ns1:Orden" minOccurs="0"/>
                <xsd:element ref="ns2:PublishingStartDate" minOccurs="0"/>
                <xsd:element ref="ns2: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73361-b4d4-4302-9756-11c2890942ab" elementFormDefault="qualified">
    <xsd:import namespace="http://schemas.microsoft.com/office/2006/documentManagement/types"/>
    <xsd:import namespace="http://schemas.microsoft.com/office/infopath/2007/PartnerControls"/>
    <xsd:element name="Orden" ma:index="0" nillable="true" ma:displayName="Orden" ma:decimals="0" ma:internalName="Orden" ma:percentage="FALSE">
      <xsd:simpleType>
        <xsd:restriction base="dms:Number">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4"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ipo de contenido"/>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rden xmlns="e4b73361-b4d4-4302-9756-11c2890942ab">4</Orde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DD45EA-34F0-4531-B561-9EBD9F19E5AF}"/>
</file>

<file path=customXml/itemProps2.xml><?xml version="1.0" encoding="utf-8"?>
<ds:datastoreItem xmlns:ds="http://schemas.openxmlformats.org/officeDocument/2006/customXml" ds:itemID="{63744C92-2A47-44FF-917A-D44D43FC979A}"/>
</file>

<file path=customXml/itemProps3.xml><?xml version="1.0" encoding="utf-8"?>
<ds:datastoreItem xmlns:ds="http://schemas.openxmlformats.org/officeDocument/2006/customXml" ds:itemID="{8B41B842-6965-49A0-8F8F-4F97733EC8D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ESTIMADO</vt:lpstr>
      <vt:lpstr>PRESUPUESTO</vt:lpstr>
      <vt:lpstr>Instrucciones</vt:lpstr>
      <vt:lpstr>PyG</vt:lpstr>
      <vt:lpstr>PAIF</vt:lpstr>
      <vt:lpstr>BAL</vt:lpstr>
      <vt:lpstr>EFE</vt:lpstr>
      <vt:lpstr>PERSONAL</vt:lpstr>
      <vt:lpstr>PASIVOS</vt:lpstr>
      <vt:lpstr>HIPOTECARIOS</vt:lpstr>
      <vt:lpstr>BAL!Área_de_impresión</vt:lpstr>
      <vt:lpstr>EFE!Área_de_impresión</vt:lpstr>
      <vt:lpstr>ESTIMADO!Área_de_impresión</vt:lpstr>
      <vt:lpstr>HIPOTECARIOS!Área_de_impresión</vt:lpstr>
      <vt:lpstr>PAIF!Área_de_impresión</vt:lpstr>
      <vt:lpstr>PASIVOS!Área_de_impresión</vt:lpstr>
      <vt:lpstr>PERSONAL!Área_de_impresión</vt:lpstr>
      <vt:lpstr>PRESUPUESTO!Área_de_impresión</vt:lpstr>
      <vt:lpstr>PyG!Área_de_impresión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2012-11-07T09:25:44Z</cp:lastPrinted>
  <dcterms:created xsi:type="dcterms:W3CDTF">2004-05-21T11:51:19Z</dcterms:created>
  <dcterms:modified xsi:type="dcterms:W3CDTF">2012-11-07T12:54:25Z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0x010100A2039BF1ACBB6242A05B31B4AC89E4F2</vt:lpwstr>
  </property>
  <property fmtid="{D5CDD505-2E9C-101B-9397-08002B2CF9AE}" pid="3" name="Order">
    <vt:r8>700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