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635" yWindow="-15" windowWidth="7680" windowHeight="8685" firstSheet="5" activeTab="6"/>
  </bookViews>
  <sheets>
    <sheet name="1T" sheetId="37" state="hidden" r:id="rId1"/>
    <sheet name="2T " sheetId="38" state="hidden" r:id="rId2"/>
    <sheet name="3T" sheetId="39" state="hidden" r:id="rId3"/>
    <sheet name="4T" sheetId="40" state="hidden" r:id="rId4"/>
    <sheet name="RATIOS" sheetId="41" state="hidden" r:id="rId5"/>
    <sheet name="BAL" sheetId="20" r:id="rId6"/>
    <sheet name="PyG" sheetId="1" r:id="rId7"/>
  </sheets>
  <definedNames>
    <definedName name="_xlnm.Print_Area" localSheetId="5">BAL!$H:$N</definedName>
    <definedName name="_xlnm.Print_Area" localSheetId="6">PyG!$B:$K</definedName>
    <definedName name="_xlnm.Auto_Open_" localSheetId="5">BAL!$A$2:$N$70</definedName>
    <definedName name="_xlnm.Auto_Open_" localSheetId="6">PyG!$B$4:$K$86</definedName>
    <definedName name="_xlnm.Auto_Open_" localSheetId="4">RATIOS!$A$1:$H$34</definedName>
    <definedName name="_xlnm.Auto_Open__" localSheetId="5">BAL!$H:$N</definedName>
    <definedName name="_xlnm.Auto_Open__" localSheetId="6">PyG!$B:$K</definedName>
    <definedName name="_xlnm.Auto_Open___" localSheetId="5">BAL!$A:$G</definedName>
    <definedName name="_xlnm.Auto_Open___" localSheetId="6">PyG!$B:$K</definedName>
  </definedNames>
  <calcPr calcId="145621"/>
</workbook>
</file>

<file path=xl/calcChain.xml><?xml version="1.0" encoding="utf-8"?>
<calcChain xmlns="http://schemas.openxmlformats.org/spreadsheetml/2006/main">
  <c r="B11" i="37" l="1"/>
  <c r="C11" i="37"/>
  <c r="D11" i="37"/>
  <c r="E11" i="37"/>
  <c r="F11" i="37"/>
  <c r="B16" i="37"/>
  <c r="B17" i="37"/>
  <c r="C17" i="37"/>
  <c r="D17" i="37"/>
  <c r="E17" i="37"/>
  <c r="D24" i="37"/>
  <c r="B11" i="38"/>
  <c r="C11" i="38"/>
  <c r="E11" i="38"/>
  <c r="F11" i="38"/>
  <c r="B16" i="38"/>
  <c r="B17" i="38"/>
  <c r="C17" i="38"/>
  <c r="E17" i="38"/>
  <c r="D24" i="38"/>
  <c r="B11" i="39"/>
  <c r="C11" i="39"/>
  <c r="D11" i="39"/>
  <c r="E11" i="39"/>
  <c r="F11" i="39"/>
  <c r="B16" i="39"/>
  <c r="B17" i="39"/>
  <c r="C17" i="39"/>
  <c r="D17" i="39"/>
  <c r="E17" i="39"/>
  <c r="D24" i="39"/>
  <c r="B11" i="40"/>
  <c r="C11" i="40"/>
  <c r="E11" i="40"/>
  <c r="F11" i="40" s="1"/>
  <c r="B16" i="40"/>
  <c r="B17" i="40"/>
  <c r="C17" i="40"/>
  <c r="E17" i="40"/>
  <c r="D24" i="40"/>
  <c r="I8" i="20"/>
  <c r="J8" i="20"/>
  <c r="K8" i="20"/>
  <c r="L8" i="20"/>
  <c r="M8" i="20"/>
  <c r="N8" i="20"/>
  <c r="B11" i="20"/>
  <c r="C11" i="20"/>
  <c r="D11" i="20"/>
  <c r="E11" i="20"/>
  <c r="F11" i="20"/>
  <c r="G11" i="20"/>
  <c r="I12" i="20"/>
  <c r="J12" i="20"/>
  <c r="K12" i="20"/>
  <c r="L12" i="20"/>
  <c r="M12" i="20"/>
  <c r="N12" i="20"/>
  <c r="I16" i="20"/>
  <c r="J16" i="20"/>
  <c r="K16" i="20"/>
  <c r="L16" i="20"/>
  <c r="M16" i="20"/>
  <c r="N16" i="20"/>
  <c r="B17" i="20"/>
  <c r="C17" i="20"/>
  <c r="D17" i="20"/>
  <c r="E17" i="20"/>
  <c r="F17" i="20"/>
  <c r="F10" i="20"/>
  <c r="G17" i="20"/>
  <c r="I19" i="20"/>
  <c r="J19" i="20"/>
  <c r="K19" i="20"/>
  <c r="L19" i="20"/>
  <c r="M19" i="20"/>
  <c r="N19" i="20"/>
  <c r="B21" i="20"/>
  <c r="C21" i="20"/>
  <c r="D21" i="20"/>
  <c r="E21" i="20"/>
  <c r="F21" i="20"/>
  <c r="G21" i="20"/>
  <c r="G10" i="20" s="1"/>
  <c r="B24" i="20"/>
  <c r="C24" i="20"/>
  <c r="D24" i="20"/>
  <c r="E24" i="20"/>
  <c r="F24" i="20"/>
  <c r="G24" i="20"/>
  <c r="I26" i="20"/>
  <c r="J26" i="20"/>
  <c r="K26" i="20"/>
  <c r="L26" i="20"/>
  <c r="M26" i="20"/>
  <c r="N26" i="20"/>
  <c r="I31" i="20"/>
  <c r="J31" i="20"/>
  <c r="K31" i="20"/>
  <c r="L31" i="20"/>
  <c r="M31" i="20"/>
  <c r="N31" i="20"/>
  <c r="B35" i="20"/>
  <c r="C35" i="20"/>
  <c r="D35" i="20"/>
  <c r="E35" i="20"/>
  <c r="F35" i="20"/>
  <c r="G35" i="20"/>
  <c r="I37" i="20"/>
  <c r="J37" i="20"/>
  <c r="K37" i="20"/>
  <c r="L37" i="20"/>
  <c r="M37" i="20"/>
  <c r="N37" i="20"/>
  <c r="B42" i="20"/>
  <c r="C42" i="20"/>
  <c r="D42" i="20"/>
  <c r="E42" i="20"/>
  <c r="F42" i="20"/>
  <c r="I42" i="20"/>
  <c r="J42" i="20"/>
  <c r="K42" i="20"/>
  <c r="L42" i="20"/>
  <c r="L36" i="20" s="1"/>
  <c r="M42" i="20"/>
  <c r="M36" i="20"/>
  <c r="N42" i="20"/>
  <c r="N36" i="20"/>
  <c r="G44" i="20"/>
  <c r="G42" i="20"/>
  <c r="B50" i="20"/>
  <c r="C50" i="20"/>
  <c r="D50" i="20"/>
  <c r="E50" i="20"/>
  <c r="F50" i="20"/>
  <c r="G50" i="20"/>
  <c r="I54" i="20"/>
  <c r="J54" i="20"/>
  <c r="K54" i="20"/>
  <c r="L54" i="20"/>
  <c r="M54" i="20"/>
  <c r="N54" i="20"/>
  <c r="N51" i="20"/>
  <c r="B58" i="20"/>
  <c r="B19" i="37"/>
  <c r="C58" i="20"/>
  <c r="B19" i="38"/>
  <c r="D58" i="20"/>
  <c r="B19" i="39"/>
  <c r="E58" i="20"/>
  <c r="B19" i="40" s="1"/>
  <c r="D19" i="40" s="1"/>
  <c r="F58" i="20"/>
  <c r="C19" i="37"/>
  <c r="G58" i="20"/>
  <c r="E19" i="37"/>
  <c r="I60" i="20"/>
  <c r="J60" i="20"/>
  <c r="K60" i="20"/>
  <c r="K51" i="20" s="1"/>
  <c r="L60" i="20"/>
  <c r="M60" i="20"/>
  <c r="M51" i="20"/>
  <c r="N60" i="20"/>
  <c r="I77" i="20"/>
  <c r="J77" i="20"/>
  <c r="K77" i="20"/>
  <c r="L77" i="20"/>
  <c r="I78" i="20"/>
  <c r="J78" i="20"/>
  <c r="K78" i="20"/>
  <c r="L78" i="20"/>
  <c r="I79" i="20"/>
  <c r="J79" i="20"/>
  <c r="K79" i="20"/>
  <c r="L79" i="20"/>
  <c r="I80" i="20"/>
  <c r="J80" i="20"/>
  <c r="K80" i="20"/>
  <c r="L80" i="20"/>
  <c r="D26" i="37"/>
  <c r="D26" i="39"/>
  <c r="B7" i="1"/>
  <c r="C10" i="1"/>
  <c r="D10" i="1"/>
  <c r="E10" i="1"/>
  <c r="F10" i="1"/>
  <c r="K10" i="1"/>
  <c r="C14" i="1"/>
  <c r="D14" i="1"/>
  <c r="E14" i="1"/>
  <c r="F14" i="1"/>
  <c r="G14" i="1"/>
  <c r="G13" i="1" s="1"/>
  <c r="C10" i="37" s="1"/>
  <c r="H14" i="1"/>
  <c r="H13" i="1"/>
  <c r="I14" i="1"/>
  <c r="I13" i="1" s="1"/>
  <c r="J14" i="1"/>
  <c r="K17" i="1"/>
  <c r="K14" i="1"/>
  <c r="C19" i="1"/>
  <c r="C13" i="1"/>
  <c r="M89" i="1" s="1"/>
  <c r="D19" i="1"/>
  <c r="E19" i="1"/>
  <c r="F19" i="1"/>
  <c r="G19" i="1"/>
  <c r="H19" i="1"/>
  <c r="I19" i="1"/>
  <c r="J19" i="1"/>
  <c r="J13" i="1" s="1"/>
  <c r="J56" i="1" s="1"/>
  <c r="K19" i="1"/>
  <c r="K24" i="1"/>
  <c r="AP89" i="1" s="1"/>
  <c r="C26" i="1"/>
  <c r="C89" i="1"/>
  <c r="D26" i="1"/>
  <c r="D89" i="1"/>
  <c r="E26" i="1"/>
  <c r="F26" i="1"/>
  <c r="G26" i="1"/>
  <c r="H26" i="1"/>
  <c r="I26" i="1"/>
  <c r="J26" i="1"/>
  <c r="K26" i="1"/>
  <c r="C31" i="1"/>
  <c r="D31" i="1"/>
  <c r="E31" i="1"/>
  <c r="F31" i="1"/>
  <c r="G31" i="1"/>
  <c r="G56" i="1" s="1"/>
  <c r="G77" i="1" s="1"/>
  <c r="H31" i="1"/>
  <c r="I31" i="1"/>
  <c r="J31" i="1"/>
  <c r="K31" i="1"/>
  <c r="C35" i="1"/>
  <c r="D35" i="1"/>
  <c r="D90" i="1" s="1"/>
  <c r="E35" i="1"/>
  <c r="F35" i="1"/>
  <c r="F90" i="1" s="1"/>
  <c r="G35" i="1"/>
  <c r="H35" i="1"/>
  <c r="H90" i="1" s="1"/>
  <c r="I35" i="1"/>
  <c r="J35" i="1"/>
  <c r="J90" i="1" s="1"/>
  <c r="K35" i="1"/>
  <c r="C39" i="1"/>
  <c r="C92" i="1" s="1"/>
  <c r="D39" i="1"/>
  <c r="E39" i="1"/>
  <c r="E92" i="1" s="1"/>
  <c r="F39" i="1"/>
  <c r="F92" i="1" s="1"/>
  <c r="G39" i="1"/>
  <c r="H39" i="1"/>
  <c r="H92" i="1" s="1"/>
  <c r="I39" i="1"/>
  <c r="J39" i="1"/>
  <c r="J92" i="1" s="1"/>
  <c r="K39" i="1"/>
  <c r="C44" i="1"/>
  <c r="D44" i="1"/>
  <c r="E44" i="1"/>
  <c r="F44" i="1"/>
  <c r="G44" i="1"/>
  <c r="G91" i="1" s="1"/>
  <c r="H44" i="1"/>
  <c r="I44" i="1"/>
  <c r="I91" i="1" s="1"/>
  <c r="J44" i="1"/>
  <c r="K44" i="1"/>
  <c r="C50" i="1"/>
  <c r="AH90" i="1" s="1"/>
  <c r="D50" i="1"/>
  <c r="E50" i="1"/>
  <c r="AJ90" i="1" s="1"/>
  <c r="F50" i="1"/>
  <c r="G50" i="1"/>
  <c r="AL90" i="1" s="1"/>
  <c r="H50" i="1"/>
  <c r="I50" i="1"/>
  <c r="AN90" i="1" s="1"/>
  <c r="J50" i="1"/>
  <c r="K50" i="1"/>
  <c r="AP90" i="1" s="1"/>
  <c r="C53" i="1"/>
  <c r="D53" i="1"/>
  <c r="E53" i="1"/>
  <c r="F53" i="1"/>
  <c r="G53" i="1"/>
  <c r="H53" i="1"/>
  <c r="I53" i="1"/>
  <c r="J53" i="1"/>
  <c r="K53" i="1"/>
  <c r="C58" i="1"/>
  <c r="C57" i="1" s="1"/>
  <c r="C76" i="1" s="1"/>
  <c r="D58" i="1"/>
  <c r="E58" i="1"/>
  <c r="E57" i="1" s="1"/>
  <c r="F58" i="1"/>
  <c r="G58" i="1"/>
  <c r="G57" i="1" s="1"/>
  <c r="Q93" i="1" s="1"/>
  <c r="H58" i="1"/>
  <c r="H57" i="1" s="1"/>
  <c r="I58" i="1"/>
  <c r="I57" i="1" s="1"/>
  <c r="S93" i="1" s="1"/>
  <c r="J58" i="1"/>
  <c r="J57" i="1"/>
  <c r="K58" i="1"/>
  <c r="C61" i="1"/>
  <c r="D61" i="1"/>
  <c r="D57" i="1" s="1"/>
  <c r="E61" i="1"/>
  <c r="F61" i="1"/>
  <c r="F57" i="1" s="1"/>
  <c r="P93" i="1" s="1"/>
  <c r="G61" i="1"/>
  <c r="H61" i="1"/>
  <c r="I61" i="1"/>
  <c r="J61" i="1"/>
  <c r="K61" i="1"/>
  <c r="K57" i="1" s="1"/>
  <c r="U93" i="1"/>
  <c r="C65" i="1"/>
  <c r="D65" i="1"/>
  <c r="E65" i="1"/>
  <c r="F65" i="1"/>
  <c r="G65" i="1"/>
  <c r="H65" i="1"/>
  <c r="H93" i="1" s="1"/>
  <c r="I65" i="1"/>
  <c r="J65" i="1"/>
  <c r="J93" i="1" s="1"/>
  <c r="K65" i="1"/>
  <c r="C69" i="1"/>
  <c r="D69" i="1"/>
  <c r="E69" i="1"/>
  <c r="F69" i="1"/>
  <c r="G69" i="1"/>
  <c r="H69" i="1"/>
  <c r="AM91" i="1" s="1"/>
  <c r="I69" i="1"/>
  <c r="J69" i="1"/>
  <c r="AO91" i="1" s="1"/>
  <c r="K69" i="1"/>
  <c r="C73" i="1"/>
  <c r="D73" i="1"/>
  <c r="AI93" i="1" s="1"/>
  <c r="E73" i="1"/>
  <c r="F73" i="1"/>
  <c r="AK93" i="1" s="1"/>
  <c r="G73" i="1"/>
  <c r="H73" i="1"/>
  <c r="AM93" i="1" s="1"/>
  <c r="I73" i="1"/>
  <c r="J73" i="1"/>
  <c r="AO93" i="1" s="1"/>
  <c r="K73" i="1"/>
  <c r="C88" i="1"/>
  <c r="X88" i="1" s="1"/>
  <c r="AH88" i="1" s="1"/>
  <c r="E88" i="1"/>
  <c r="Z88" i="1" s="1"/>
  <c r="AJ88" i="1"/>
  <c r="G88" i="1"/>
  <c r="AB88" i="1" s="1"/>
  <c r="AL88" i="1" s="1"/>
  <c r="H88" i="1"/>
  <c r="AC88" i="1"/>
  <c r="AM88" i="1" s="1"/>
  <c r="I88" i="1"/>
  <c r="AD88" i="1" s="1"/>
  <c r="AN88" i="1" s="1"/>
  <c r="J88" i="1"/>
  <c r="AE88" i="1"/>
  <c r="AO88" i="1" s="1"/>
  <c r="M88" i="1"/>
  <c r="O88" i="1"/>
  <c r="Q88" i="1"/>
  <c r="R88" i="1"/>
  <c r="S88" i="1"/>
  <c r="T88" i="1"/>
  <c r="U88" i="1"/>
  <c r="AF88" i="1"/>
  <c r="AP88" i="1"/>
  <c r="E89" i="1"/>
  <c r="F89" i="1"/>
  <c r="G89" i="1"/>
  <c r="H89" i="1"/>
  <c r="I89" i="1"/>
  <c r="J89" i="1"/>
  <c r="K89" i="1"/>
  <c r="X89" i="1"/>
  <c r="Y89" i="1"/>
  <c r="Z89" i="1"/>
  <c r="AA89" i="1"/>
  <c r="AB89" i="1"/>
  <c r="AC89" i="1"/>
  <c r="AD89" i="1"/>
  <c r="AE89" i="1"/>
  <c r="AF89" i="1"/>
  <c r="AF95" i="1" s="1"/>
  <c r="K95" i="1" s="1"/>
  <c r="AH89" i="1"/>
  <c r="AI89" i="1"/>
  <c r="AJ89" i="1"/>
  <c r="AK89" i="1"/>
  <c r="AL89" i="1"/>
  <c r="AM89" i="1"/>
  <c r="AN89" i="1"/>
  <c r="AO89" i="1"/>
  <c r="C90" i="1"/>
  <c r="E90" i="1"/>
  <c r="G90" i="1"/>
  <c r="I90" i="1"/>
  <c r="I96" i="1" s="1"/>
  <c r="C9" i="39" s="1"/>
  <c r="K90" i="1"/>
  <c r="M90" i="1"/>
  <c r="N90" i="1"/>
  <c r="O90" i="1"/>
  <c r="P90" i="1"/>
  <c r="Q90" i="1"/>
  <c r="R90" i="1"/>
  <c r="S90" i="1"/>
  <c r="T90" i="1"/>
  <c r="U90" i="1"/>
  <c r="X90" i="1"/>
  <c r="Y90" i="1"/>
  <c r="Z90" i="1"/>
  <c r="AA90" i="1"/>
  <c r="AB90" i="1"/>
  <c r="AC90" i="1"/>
  <c r="AD90" i="1"/>
  <c r="AE90" i="1"/>
  <c r="AF90" i="1"/>
  <c r="AI90" i="1"/>
  <c r="AK90" i="1"/>
  <c r="AM90" i="1"/>
  <c r="AO90" i="1"/>
  <c r="D91" i="1"/>
  <c r="F91" i="1"/>
  <c r="H91" i="1"/>
  <c r="J91" i="1"/>
  <c r="M91" i="1"/>
  <c r="N91" i="1"/>
  <c r="O91" i="1"/>
  <c r="P91" i="1"/>
  <c r="Q91" i="1"/>
  <c r="R91" i="1"/>
  <c r="S91" i="1"/>
  <c r="T91" i="1"/>
  <c r="U91" i="1"/>
  <c r="X91" i="1"/>
  <c r="Y91" i="1"/>
  <c r="Z91" i="1"/>
  <c r="AA91" i="1"/>
  <c r="AB91" i="1"/>
  <c r="AC91" i="1"/>
  <c r="AD91" i="1"/>
  <c r="AE91" i="1"/>
  <c r="AF91" i="1"/>
  <c r="AH91" i="1"/>
  <c r="AI91" i="1"/>
  <c r="AJ91" i="1"/>
  <c r="AK91" i="1"/>
  <c r="AL91" i="1"/>
  <c r="AN91" i="1"/>
  <c r="AP91" i="1"/>
  <c r="D92" i="1"/>
  <c r="G92" i="1"/>
  <c r="I92" i="1"/>
  <c r="K92" i="1"/>
  <c r="M92" i="1"/>
  <c r="N92" i="1"/>
  <c r="O92" i="1"/>
  <c r="P92" i="1"/>
  <c r="Q92" i="1"/>
  <c r="R92" i="1"/>
  <c r="S92" i="1"/>
  <c r="T92" i="1"/>
  <c r="U92" i="1"/>
  <c r="X92" i="1"/>
  <c r="Y92" i="1"/>
  <c r="Z92" i="1"/>
  <c r="AA92" i="1"/>
  <c r="AB92" i="1"/>
  <c r="AC92" i="1"/>
  <c r="AD92" i="1"/>
  <c r="AE92" i="1"/>
  <c r="AF92" i="1"/>
  <c r="AH92" i="1"/>
  <c r="AI92" i="1"/>
  <c r="AJ92" i="1"/>
  <c r="AK92" i="1"/>
  <c r="AL92" i="1"/>
  <c r="AM92" i="1"/>
  <c r="AN92" i="1"/>
  <c r="AO92" i="1"/>
  <c r="AP92" i="1"/>
  <c r="C93" i="1"/>
  <c r="D93" i="1"/>
  <c r="E93" i="1"/>
  <c r="F93" i="1"/>
  <c r="G93" i="1"/>
  <c r="I93" i="1"/>
  <c r="K93" i="1"/>
  <c r="X93" i="1"/>
  <c r="Y93" i="1"/>
  <c r="Z93" i="1"/>
  <c r="AB93" i="1"/>
  <c r="AD93" i="1"/>
  <c r="AF93" i="1"/>
  <c r="AH93" i="1"/>
  <c r="AJ93" i="1"/>
  <c r="AL93" i="1"/>
  <c r="AN93" i="1"/>
  <c r="AP93" i="1"/>
  <c r="C94" i="1"/>
  <c r="D94" i="1"/>
  <c r="E94" i="1"/>
  <c r="F94" i="1"/>
  <c r="G94" i="1"/>
  <c r="H94" i="1"/>
  <c r="I94" i="1"/>
  <c r="J94" i="1"/>
  <c r="K94" i="1"/>
  <c r="X94" i="1"/>
  <c r="Y94" i="1"/>
  <c r="Z94" i="1"/>
  <c r="AA94" i="1"/>
  <c r="AB94" i="1"/>
  <c r="AC94" i="1"/>
  <c r="AD94" i="1"/>
  <c r="AD95" i="1"/>
  <c r="I95" i="1" s="1"/>
  <c r="AE94" i="1"/>
  <c r="AF94" i="1"/>
  <c r="AH94" i="1"/>
  <c r="AI94" i="1"/>
  <c r="AJ94" i="1"/>
  <c r="AK94" i="1"/>
  <c r="AL94" i="1"/>
  <c r="AM94" i="1"/>
  <c r="AN94" i="1"/>
  <c r="AO94" i="1"/>
  <c r="AP94" i="1"/>
  <c r="R89" i="1"/>
  <c r="N93" i="1"/>
  <c r="A2" i="39"/>
  <c r="A2" i="40"/>
  <c r="C19" i="38"/>
  <c r="D19" i="38"/>
  <c r="C19" i="39"/>
  <c r="D19" i="39"/>
  <c r="C19" i="40"/>
  <c r="E19" i="38"/>
  <c r="E19" i="39"/>
  <c r="E19" i="40"/>
  <c r="G33" i="20"/>
  <c r="E20" i="37" s="1"/>
  <c r="E20" i="38" s="1"/>
  <c r="D19" i="37"/>
  <c r="Q89" i="1"/>
  <c r="D26" i="38"/>
  <c r="D11" i="38"/>
  <c r="D13" i="1"/>
  <c r="C33" i="20"/>
  <c r="C10" i="20"/>
  <c r="C70" i="20"/>
  <c r="B18" i="38" s="1"/>
  <c r="J51" i="20"/>
  <c r="D17" i="38"/>
  <c r="J36" i="20"/>
  <c r="C91" i="1"/>
  <c r="I51" i="20"/>
  <c r="I36" i="20"/>
  <c r="B33" i="20"/>
  <c r="B6" i="41"/>
  <c r="B20" i="37" s="1"/>
  <c r="B10" i="20"/>
  <c r="F76" i="1"/>
  <c r="K76" i="1"/>
  <c r="G76" i="1"/>
  <c r="G79" i="1"/>
  <c r="G84" i="1" s="1"/>
  <c r="K13" i="1"/>
  <c r="C10" i="39"/>
  <c r="D27" i="38"/>
  <c r="D56" i="1"/>
  <c r="C6" i="41"/>
  <c r="E10" i="38"/>
  <c r="B10" i="37"/>
  <c r="U89" i="1"/>
  <c r="T93" i="1"/>
  <c r="M93" i="1"/>
  <c r="C56" i="1"/>
  <c r="C77" i="1" s="1"/>
  <c r="B10" i="38"/>
  <c r="N89" i="1"/>
  <c r="D27" i="37"/>
  <c r="H6" i="41"/>
  <c r="D33" i="20"/>
  <c r="B8" i="41" s="1"/>
  <c r="Z95" i="1"/>
  <c r="E95" i="1" s="1"/>
  <c r="K36" i="20"/>
  <c r="D10" i="20"/>
  <c r="B70" i="20"/>
  <c r="E20" i="40"/>
  <c r="I56" i="1"/>
  <c r="S89" i="1"/>
  <c r="D7" i="41"/>
  <c r="C7" i="41"/>
  <c r="H76" i="1"/>
  <c r="R93" i="1"/>
  <c r="C10" i="40"/>
  <c r="T89" i="1"/>
  <c r="D70" i="20"/>
  <c r="B18" i="39" s="1"/>
  <c r="B20" i="39"/>
  <c r="C8" i="41"/>
  <c r="B18" i="37"/>
  <c r="D6" i="41"/>
  <c r="D27" i="40" l="1"/>
  <c r="D11" i="40"/>
  <c r="F13" i="1"/>
  <c r="B10" i="40" s="1"/>
  <c r="D10" i="40" s="1"/>
  <c r="F56" i="1"/>
  <c r="P89" i="1"/>
  <c r="L51" i="20"/>
  <c r="D17" i="40"/>
  <c r="E33" i="20"/>
  <c r="E10" i="20"/>
  <c r="D8" i="41"/>
  <c r="F10" i="38"/>
  <c r="C7" i="37"/>
  <c r="C12" i="37"/>
  <c r="Y95" i="1"/>
  <c r="D95" i="1" s="1"/>
  <c r="D96" i="1" s="1"/>
  <c r="B9" i="38" s="1"/>
  <c r="AO95" i="1"/>
  <c r="T94" i="1" s="1"/>
  <c r="T95" i="1" s="1"/>
  <c r="AM95" i="1"/>
  <c r="R94" i="1" s="1"/>
  <c r="R95" i="1" s="1"/>
  <c r="AK95" i="1"/>
  <c r="P94" i="1" s="1"/>
  <c r="P95" i="1" s="1"/>
  <c r="AI95" i="1"/>
  <c r="N94" i="1" s="1"/>
  <c r="AB95" i="1"/>
  <c r="G95" i="1" s="1"/>
  <c r="X95" i="1"/>
  <c r="C95" i="1" s="1"/>
  <c r="D76" i="1"/>
  <c r="O93" i="1"/>
  <c r="E76" i="1"/>
  <c r="AN95" i="1"/>
  <c r="S94" i="1" s="1"/>
  <c r="AL95" i="1"/>
  <c r="Q94" i="1" s="1"/>
  <c r="Q95" i="1" s="1"/>
  <c r="AJ95" i="1"/>
  <c r="O94" i="1" s="1"/>
  <c r="AH95" i="1"/>
  <c r="M94" i="1" s="1"/>
  <c r="M95" i="1" s="1"/>
  <c r="C96" i="1"/>
  <c r="B9" i="37" s="1"/>
  <c r="AP95" i="1"/>
  <c r="U94" i="1" s="1"/>
  <c r="U95" i="1" s="1"/>
  <c r="E13" i="1"/>
  <c r="F88" i="1"/>
  <c r="AA88" i="1" s="1"/>
  <c r="AK88" i="1" s="1"/>
  <c r="P88" i="1"/>
  <c r="D88" i="1"/>
  <c r="Y88" i="1" s="1"/>
  <c r="AI88" i="1" s="1"/>
  <c r="N88" i="1"/>
  <c r="A2" i="37"/>
  <c r="A2" i="38"/>
  <c r="D26" i="40"/>
  <c r="G70" i="20"/>
  <c r="E18" i="37" s="1"/>
  <c r="S95" i="1"/>
  <c r="N95" i="1"/>
  <c r="G6" i="41"/>
  <c r="C79" i="1"/>
  <c r="C84" i="1" s="1"/>
  <c r="D10" i="37"/>
  <c r="D77" i="1"/>
  <c r="E10" i="40"/>
  <c r="E10" i="39"/>
  <c r="E10" i="37"/>
  <c r="F10" i="37" s="1"/>
  <c r="K56" i="1"/>
  <c r="K77" i="1" s="1"/>
  <c r="F77" i="1"/>
  <c r="B7" i="41"/>
  <c r="B20" i="38" s="1"/>
  <c r="E20" i="39"/>
  <c r="AE93" i="1"/>
  <c r="AE95" i="1" s="1"/>
  <c r="J95" i="1" s="1"/>
  <c r="J96" i="1" s="1"/>
  <c r="C9" i="40" s="1"/>
  <c r="AC93" i="1"/>
  <c r="AC95" i="1" s="1"/>
  <c r="H95" i="1" s="1"/>
  <c r="H96" i="1" s="1"/>
  <c r="C9" i="38" s="1"/>
  <c r="AA93" i="1"/>
  <c r="AA95" i="1" s="1"/>
  <c r="F95" i="1" s="1"/>
  <c r="F96" i="1" s="1"/>
  <c r="B9" i="40" s="1"/>
  <c r="G96" i="1"/>
  <c r="C9" i="37" s="1"/>
  <c r="J76" i="1"/>
  <c r="J77" i="1" s="1"/>
  <c r="J79" i="1" s="1"/>
  <c r="J84" i="1" s="1"/>
  <c r="I76" i="1"/>
  <c r="I77" i="1" s="1"/>
  <c r="I79" i="1" s="1"/>
  <c r="I84" i="1" s="1"/>
  <c r="K91" i="1"/>
  <c r="K96" i="1" s="1"/>
  <c r="E9" i="37" s="1"/>
  <c r="E91" i="1"/>
  <c r="E96" i="1" s="1"/>
  <c r="B9" i="39" s="1"/>
  <c r="H56" i="1"/>
  <c r="H77" i="1" s="1"/>
  <c r="H79" i="1" s="1"/>
  <c r="H84" i="1" s="1"/>
  <c r="C10" i="38"/>
  <c r="D10" i="38" s="1"/>
  <c r="E27" i="37"/>
  <c r="D27" i="39"/>
  <c r="E26" i="37"/>
  <c r="F33" i="20"/>
  <c r="F10" i="40" l="1"/>
  <c r="E70" i="20"/>
  <c r="B18" i="40" s="1"/>
  <c r="C9" i="41"/>
  <c r="B9" i="41"/>
  <c r="B20" i="40" s="1"/>
  <c r="M23" i="20"/>
  <c r="M11" i="20" s="1"/>
  <c r="M10" i="20" s="1"/>
  <c r="M70" i="20" s="1"/>
  <c r="C12" i="40"/>
  <c r="C7" i="40"/>
  <c r="C7" i="39"/>
  <c r="C12" i="39"/>
  <c r="K98" i="1"/>
  <c r="E8" i="37"/>
  <c r="J98" i="1"/>
  <c r="C8" i="40"/>
  <c r="D9" i="40"/>
  <c r="F98" i="1"/>
  <c r="B8" i="40"/>
  <c r="F6" i="41"/>
  <c r="B12" i="37" s="1"/>
  <c r="I23" i="20"/>
  <c r="I11" i="20" s="1"/>
  <c r="I10" i="20" s="1"/>
  <c r="B7" i="37"/>
  <c r="E18" i="38"/>
  <c r="E18" i="39"/>
  <c r="E18" i="40"/>
  <c r="B10" i="39"/>
  <c r="E56" i="1"/>
  <c r="E77" i="1" s="1"/>
  <c r="O89" i="1"/>
  <c r="O95" i="1" s="1"/>
  <c r="F9" i="37"/>
  <c r="D9" i="37"/>
  <c r="C98" i="1"/>
  <c r="B8" i="37"/>
  <c r="C8" i="37"/>
  <c r="G98" i="1"/>
  <c r="C8" i="38"/>
  <c r="H98" i="1"/>
  <c r="D9" i="38"/>
  <c r="C20" i="37"/>
  <c r="F70" i="20"/>
  <c r="E26" i="38"/>
  <c r="E26" i="39"/>
  <c r="E26" i="40"/>
  <c r="E27" i="39"/>
  <c r="E27" i="38"/>
  <c r="E27" i="40"/>
  <c r="C12" i="38"/>
  <c r="C7" i="38"/>
  <c r="D9" i="39"/>
  <c r="E9" i="39"/>
  <c r="F9" i="39" s="1"/>
  <c r="E9" i="40"/>
  <c r="F9" i="40" s="1"/>
  <c r="E9" i="38"/>
  <c r="F9" i="38" s="1"/>
  <c r="F79" i="1"/>
  <c r="F84" i="1" s="1"/>
  <c r="H9" i="41"/>
  <c r="G9" i="41"/>
  <c r="K79" i="1"/>
  <c r="K84" i="1" s="1"/>
  <c r="D79" i="1"/>
  <c r="D84" i="1" s="1"/>
  <c r="G7" i="41"/>
  <c r="H7" i="41"/>
  <c r="D98" i="1"/>
  <c r="B8" i="38"/>
  <c r="I98" i="1"/>
  <c r="C8" i="39"/>
  <c r="D9" i="41" l="1"/>
  <c r="D25" i="38"/>
  <c r="D28" i="38"/>
  <c r="E7" i="39"/>
  <c r="E7" i="37"/>
  <c r="E7" i="38"/>
  <c r="N23" i="20"/>
  <c r="N11" i="20" s="1"/>
  <c r="N10" i="20" s="1"/>
  <c r="N70" i="20" s="1"/>
  <c r="E7" i="40"/>
  <c r="E12" i="37"/>
  <c r="D25" i="40"/>
  <c r="D28" i="40"/>
  <c r="C20" i="39"/>
  <c r="D20" i="39" s="1"/>
  <c r="D20" i="37"/>
  <c r="C20" i="38"/>
  <c r="D20" i="38" s="1"/>
  <c r="C20" i="40"/>
  <c r="D20" i="40" s="1"/>
  <c r="E79" i="1"/>
  <c r="E84" i="1" s="1"/>
  <c r="H8" i="41"/>
  <c r="G8" i="41"/>
  <c r="E6" i="41"/>
  <c r="I70" i="20"/>
  <c r="D8" i="40"/>
  <c r="D8" i="38"/>
  <c r="D28" i="37"/>
  <c r="D25" i="37"/>
  <c r="F7" i="41"/>
  <c r="B12" i="38" s="1"/>
  <c r="J23" i="20"/>
  <c r="J11" i="20" s="1"/>
  <c r="J10" i="20" s="1"/>
  <c r="B7" i="38"/>
  <c r="E25" i="37"/>
  <c r="E28" i="37"/>
  <c r="L23" i="20"/>
  <c r="L11" i="20" s="1"/>
  <c r="L10" i="20" s="1"/>
  <c r="B7" i="40"/>
  <c r="F9" i="41"/>
  <c r="B12" i="40" s="1"/>
  <c r="C18" i="37"/>
  <c r="F8" i="37"/>
  <c r="D8" i="37"/>
  <c r="B8" i="39"/>
  <c r="E98" i="1"/>
  <c r="F10" i="39"/>
  <c r="D10" i="39"/>
  <c r="D7" i="37"/>
  <c r="F7" i="37"/>
  <c r="D12" i="37"/>
  <c r="F12" i="37"/>
  <c r="E8" i="40"/>
  <c r="F8" i="40" s="1"/>
  <c r="E8" i="39"/>
  <c r="E8" i="38"/>
  <c r="F8" i="38" s="1"/>
  <c r="D12" i="40" l="1"/>
  <c r="L70" i="20"/>
  <c r="E9" i="41"/>
  <c r="E25" i="40"/>
  <c r="E25" i="39"/>
  <c r="E25" i="38"/>
  <c r="J70" i="20"/>
  <c r="E7" i="41"/>
  <c r="B7" i="39"/>
  <c r="K23" i="20"/>
  <c r="K11" i="20" s="1"/>
  <c r="K10" i="20" s="1"/>
  <c r="F8" i="41"/>
  <c r="B12" i="39" s="1"/>
  <c r="E12" i="38"/>
  <c r="E12" i="40"/>
  <c r="F12" i="40" s="1"/>
  <c r="E12" i="39"/>
  <c r="D8" i="39"/>
  <c r="F8" i="39"/>
  <c r="C18" i="39"/>
  <c r="D18" i="39" s="1"/>
  <c r="C18" i="38"/>
  <c r="D18" i="38" s="1"/>
  <c r="C18" i="40"/>
  <c r="D18" i="40" s="1"/>
  <c r="D18" i="37"/>
  <c r="D7" i="40"/>
  <c r="F7" i="40"/>
  <c r="E28" i="40"/>
  <c r="E28" i="39"/>
  <c r="E28" i="38"/>
  <c r="F7" i="38"/>
  <c r="D7" i="38"/>
  <c r="F12" i="38"/>
  <c r="D12" i="38"/>
  <c r="D28" i="39"/>
  <c r="D25" i="39"/>
  <c r="F12" i="39" l="1"/>
  <c r="D12" i="39"/>
  <c r="D7" i="39"/>
  <c r="F7" i="39"/>
  <c r="K70" i="20"/>
  <c r="A73" i="20" s="1"/>
  <c r="E8" i="41"/>
</calcChain>
</file>

<file path=xl/sharedStrings.xml><?xml version="1.0" encoding="utf-8"?>
<sst xmlns="http://schemas.openxmlformats.org/spreadsheetml/2006/main" count="379" uniqueCount="256">
  <si>
    <t>ACTIVO</t>
  </si>
  <si>
    <t>BALANCE DE SITUACIÓN</t>
  </si>
  <si>
    <t>PRESUPUESTO</t>
  </si>
  <si>
    <t>REAL</t>
  </si>
  <si>
    <t>PATRIMONIO NETO Y PASIVO</t>
  </si>
  <si>
    <t>A) ACTIVO NO CORRIENTE</t>
  </si>
  <si>
    <t xml:space="preserve">     I. Inmovilizado intangible</t>
  </si>
  <si>
    <t xml:space="preserve">              2. Concesiones</t>
  </si>
  <si>
    <t xml:space="preserve">              3. Patentes, licencias, marcas y similares</t>
  </si>
  <si>
    <t xml:space="preserve">              4. Aplicaciones informáticas</t>
  </si>
  <si>
    <t xml:space="preserve">              5. Otro inmovilizado intangible</t>
  </si>
  <si>
    <t xml:space="preserve">     II. Inmovilizado material</t>
  </si>
  <si>
    <t xml:space="preserve">              1. Terrenos y construcciones</t>
  </si>
  <si>
    <t xml:space="preserve">              2. Instalaciones técnicas y otro inmovilizado material</t>
  </si>
  <si>
    <t xml:space="preserve">              3. Inmovilizado en curso y anticipos</t>
  </si>
  <si>
    <t xml:space="preserve">     III. Inversiones inmobiliarias</t>
  </si>
  <si>
    <t xml:space="preserve">              1. Terrenos</t>
  </si>
  <si>
    <t xml:space="preserve">              2. Construcciones</t>
  </si>
  <si>
    <t xml:space="preserve">     IV. Inversiones financieras a largo plazo</t>
  </si>
  <si>
    <t xml:space="preserve">      V. Activos por impuesto diferido</t>
  </si>
  <si>
    <t>B) ACTIVO CORRIENTE</t>
  </si>
  <si>
    <t xml:space="preserve">       I. Activos no corrientes mantenidos para la venta</t>
  </si>
  <si>
    <t xml:space="preserve">      II. Existencias</t>
  </si>
  <si>
    <t xml:space="preserve">     III. Deudores comerciales y otras cuentas a cobrar</t>
  </si>
  <si>
    <t xml:space="preserve">              1. Clientes por ventas y prestaciones de servicios</t>
  </si>
  <si>
    <t xml:space="preserve">              3. Deudores varios</t>
  </si>
  <si>
    <t xml:space="preserve">              4. Personal</t>
  </si>
  <si>
    <t xml:space="preserve">              5. Activos por impuesto corriente</t>
  </si>
  <si>
    <t xml:space="preserve">              6. Otros créditos con las Administraciones Públicas</t>
  </si>
  <si>
    <t xml:space="preserve">              7. Accionistas (socios) por desembolsos exigidos</t>
  </si>
  <si>
    <t xml:space="preserve">     IV. Inversiones financieras a corto plazo</t>
  </si>
  <si>
    <t xml:space="preserve">     VI. Efectivo y otros activos líquidos equivalentes</t>
  </si>
  <si>
    <t xml:space="preserve">              1. Tesorería</t>
  </si>
  <si>
    <t xml:space="preserve">             2. Otros activos líquidos equivalentes</t>
  </si>
  <si>
    <t>TOTAL ACTIVO (A+B)</t>
  </si>
  <si>
    <t>A) PATRIMONIO NETO</t>
  </si>
  <si>
    <t>A-1) Fondos Propios</t>
  </si>
  <si>
    <t xml:space="preserve">       I. Capital</t>
  </si>
  <si>
    <t xml:space="preserve">              1. Capital escriturado</t>
  </si>
  <si>
    <t xml:space="preserve">              2. (Capital no exigido)</t>
  </si>
  <si>
    <t xml:space="preserve">      II. Prima de emisión</t>
  </si>
  <si>
    <t xml:space="preserve">     III. Reservas</t>
  </si>
  <si>
    <t xml:space="preserve">             1. Reserva legal</t>
  </si>
  <si>
    <t xml:space="preserve">             2. Otras reservas</t>
  </si>
  <si>
    <t xml:space="preserve">     IV. Resultados de ejercicios anteriores</t>
  </si>
  <si>
    <t xml:space="preserve">            1. Remanente</t>
  </si>
  <si>
    <t xml:space="preserve">            2. (Resultados negativos de ejercicios anteriores)</t>
  </si>
  <si>
    <t xml:space="preserve">     V. Otras aportaciones de socios</t>
  </si>
  <si>
    <t xml:space="preserve">    VI. Resultado del ejercicio</t>
  </si>
  <si>
    <t xml:space="preserve">   VII. (Dividendo a cuenta)</t>
  </si>
  <si>
    <t>A-2) Ajustes por cambios de valor</t>
  </si>
  <si>
    <t>A-3) Subvenciones, donaciones y legados recibidos</t>
  </si>
  <si>
    <t>B) PASIVO NO CORRIENTE</t>
  </si>
  <si>
    <t xml:space="preserve">      I. Provisiones a largo plazo</t>
  </si>
  <si>
    <t xml:space="preserve">          1. Obligaciones por prestaciones a LP al personal</t>
  </si>
  <si>
    <t xml:space="preserve">          2. Actuaciones medioambientales</t>
  </si>
  <si>
    <t xml:space="preserve">          3. Provisiones por reestructuración</t>
  </si>
  <si>
    <t xml:space="preserve">          4. Otras provisiones</t>
  </si>
  <si>
    <t xml:space="preserve">    II. Deudas a largo plazo</t>
  </si>
  <si>
    <t xml:space="preserve">         1. Deudas con entidades de credito</t>
  </si>
  <si>
    <t xml:space="preserve">   IV. Pasivos por impuesto diferido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</si>
  <si>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</si>
  <si>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</si>
  <si>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</si>
  <si>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</si>
  <si>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V. Acreedores comerciales y otras cuentas a pagar</t>
  </si>
  <si>
    <t xml:space="preserve">        1.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</si>
  <si>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</si>
  <si>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</si>
  <si>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</si>
  <si>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</si>
  <si>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</si>
  <si>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>TOTAL PATRIMONIO NETO Y PASIVO (A+B+C)</t>
  </si>
  <si>
    <t xml:space="preserve">    II. Operaciones de cobertura</t>
  </si>
  <si>
    <t xml:space="preserve">   III. Otros</t>
  </si>
  <si>
    <t>A) OPERACIONES CONTINUADAS</t>
  </si>
  <si>
    <t xml:space="preserve">      1. Importe neto de la cifra de negocios</t>
  </si>
  <si>
    <t xml:space="preserve">             a) Ventas</t>
  </si>
  <si>
    <t xml:space="preserve">             b) Prestaciones de servicios</t>
  </si>
  <si>
    <t xml:space="preserve">                  Prestaciones de servicios 3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</si>
  <si>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</si>
  <si>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</si>
  <si>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</si>
  <si>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</si>
  <si>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</si>
  <si>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</si>
  <si>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</si>
  <si>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 1. Comerciales</t>
  </si>
  <si>
    <t xml:space="preserve">               2. Materias primas y otros aprovisionamientos</t>
  </si>
  <si>
    <t xml:space="preserve">               3. Productos en curso</t>
  </si>
  <si>
    <t xml:space="preserve">               4. Productos terminados</t>
  </si>
  <si>
    <t xml:space="preserve">               5. Subproductos, residuos y materiales recuperados</t>
  </si>
  <si>
    <t xml:space="preserve">              a) Ingresos accesorios y otros de gestión corriente</t>
  </si>
  <si>
    <t xml:space="preserve">      5. Otros ingresos de explotación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</si>
  <si>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</si>
  <si>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</si>
  <si>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</si>
  <si>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</si>
  <si>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</si>
  <si>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</si>
  <si>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</si>
  <si>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</si>
  <si>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</si>
  <si>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</si>
  <si>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</si>
  <si>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</si>
  <si>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</si>
  <si>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</si>
  <si>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</si>
  <si>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</si>
  <si>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</si>
  <si>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</si>
  <si>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</si>
  <si>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13. Ingresos financieros</t>
  </si>
  <si>
    <t xml:space="preserve">             a) De participaciones en instrumentos de patrimonio</t>
  </si>
  <si>
    <t xml:space="preserve">            b) Por deudas con terceros</t>
  </si>
  <si>
    <t xml:space="preserve">            a) Cartera de negociación y otros</t>
  </si>
  <si>
    <t xml:space="preserve">            b) Imputación al resultado del ejercicio por AFDV</t>
  </si>
  <si>
    <t xml:space="preserve">     14. Gastos financieros</t>
  </si>
  <si>
    <t xml:space="preserve">     15. Variación de valor razonable en instrumentos financieros</t>
  </si>
  <si>
    <t xml:space="preserve">     16. Diferencias de cambio</t>
  </si>
  <si>
    <t xml:space="preserve">     18. Impuesto sobre beneficios</t>
  </si>
  <si>
    <t>B) OPERACIONES INTERRUMPIDAS</t>
  </si>
  <si>
    <t>A.5) RESULTADO DEL EJERCICIO (A.4+19)</t>
  </si>
  <si>
    <t xml:space="preserve">              d) Deterioro de mercaderías, materias primas y otros aprov.</t>
  </si>
  <si>
    <t xml:space="preserve">     17. Deterioro y resultado por enajenaciones de instrumentos financ.</t>
  </si>
  <si>
    <t xml:space="preserve">     19. Rdo. ejercicio procedente de op. interrumpidas neto de impuestos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</si>
  <si>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</si>
  <si>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</si>
  <si>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</si>
  <si>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</si>
  <si>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 xml:space="preserve">              1. Instrumentos de patrimonio</t>
  </si>
  <si>
    <t xml:space="preserve">              2. Créditos a terceros</t>
  </si>
  <si>
    <t xml:space="preserve">              3. Valores representativos de deuda</t>
  </si>
  <si>
    <t xml:space="preserve">              4. Derivados</t>
  </si>
  <si>
    <t xml:space="preserve">      V. Periodificaciones a corto plazo</t>
  </si>
  <si>
    <t xml:space="preserve">     I. Activos financieros disponibles venta</t>
  </si>
  <si>
    <t xml:space="preserve">         2. Acreedores por arrendamiento financiero</t>
  </si>
  <si>
    <t xml:space="preserve">         3. Derivados</t>
  </si>
  <si>
    <t xml:space="preserve">         4. Otros pasivos financieros</t>
  </si>
  <si>
    <t xml:space="preserve">   V. Periodificaciones a largo plazo</t>
  </si>
  <si>
    <t xml:space="preserve">  VI. Periodificaciones a corto plazo</t>
  </si>
  <si>
    <t xml:space="preserve">              1. Desarrollo</t>
  </si>
  <si>
    <t xml:space="preserve">              a) Sueldos, salarios y asimilados</t>
  </si>
  <si>
    <t xml:space="preserve">     10. Excesos de provisiones</t>
  </si>
  <si>
    <t xml:space="preserve">             b) De valores negociables y otros instrumentos financieros</t>
  </si>
  <si>
    <t xml:space="preserve">            c) Por actualización de provisiones</t>
  </si>
  <si>
    <t xml:space="preserve">               b) Resultados por enajenaciones y otras</t>
  </si>
  <si>
    <t xml:space="preserve">               a) Ingresos excepcionales</t>
  </si>
  <si>
    <t xml:space="preserve">               b) Gastos excepcionales</t>
  </si>
  <si>
    <t xml:space="preserve">     I. Subvenciones de capital del Ayuntamiento</t>
  </si>
  <si>
    <t xml:space="preserve">    II. Otras subvenciones de capital</t>
  </si>
  <si>
    <t xml:space="preserve">   III. Adscripción de bienes</t>
  </si>
  <si>
    <t>2º TRIMESTRE</t>
  </si>
  <si>
    <t>4º TRIMESTRE</t>
  </si>
  <si>
    <t xml:space="preserve">              2. Ayuntamiento., OOAA, Empr.Municipales, deudores</t>
  </si>
  <si>
    <t xml:space="preserve">   III. Deudas con el Ayto., OOAA, Empr.Munic. a LP</t>
  </si>
  <si>
    <t xml:space="preserve">            a) Por deudas con el Ayuntamiento, OOAA y Empr.Municipales</t>
  </si>
  <si>
    <t xml:space="preserve">              6. Otros activos financieros</t>
  </si>
  <si>
    <t xml:space="preserve">              5. Inv.financ. en Empresas Municipales, OOAA y Ayto</t>
  </si>
  <si>
    <t xml:space="preserve">                     a.1) En Empresas Municipales, OOAA y Ayto</t>
  </si>
  <si>
    <t xml:space="preserve">                     a.2) En terceros</t>
  </si>
  <si>
    <t xml:space="preserve">                     b.1) En Empresas Municipales, OOAA y Ayto</t>
  </si>
  <si>
    <t xml:space="preserve">                     b.2) En terceros</t>
  </si>
  <si>
    <t xml:space="preserve">   IV. Deudas con el Ayto., OOAA, Empr.Munic. a CP</t>
  </si>
  <si>
    <t xml:space="preserve">               6. Anticipos a proveedores</t>
  </si>
  <si>
    <t>CUENTA DE PÉRDIDAS Y GANANCIAS</t>
  </si>
  <si>
    <t>COMPROBACIONES</t>
  </si>
  <si>
    <t>SALDO INICIAL SEGÚN BALANCE</t>
  </si>
  <si>
    <t>SALDO FINAL SEGÚN BALANCE</t>
  </si>
  <si>
    <t>AUMENTO EFE</t>
  </si>
  <si>
    <t>DISMINUCION EFE</t>
  </si>
  <si>
    <t>COMPROBACIÓN DEUDA ENTIDADES CRÉDITO</t>
  </si>
  <si>
    <t>1T</t>
  </si>
  <si>
    <t>2T</t>
  </si>
  <si>
    <t>3T</t>
  </si>
  <si>
    <t>4T</t>
  </si>
  <si>
    <t>VER TAMBIÉN ARCHIVO MENSUAL PASIVOS</t>
  </si>
  <si>
    <t xml:space="preserve">             c) Incorporación al activo de gastos financieros</t>
  </si>
  <si>
    <t>31.03.11</t>
  </si>
  <si>
    <t>30.06.11</t>
  </si>
  <si>
    <t>30.09.11</t>
  </si>
  <si>
    <t>31.12.11</t>
  </si>
  <si>
    <t>1er Trimestre</t>
  </si>
  <si>
    <t>CUENTA DE RESULTADOS</t>
  </si>
  <si>
    <t>COMPARATIVA TRIMESTRE EJERCICIO ANTERIOR</t>
  </si>
  <si>
    <t>EJECUCIÓN SOBRE PRESUPUESTO</t>
  </si>
  <si>
    <t>% Variación</t>
  </si>
  <si>
    <t>% Ejecución</t>
  </si>
  <si>
    <t>RESULTADO</t>
  </si>
  <si>
    <t>TOTAL INGRESOS</t>
  </si>
  <si>
    <t>TOTAL GASTOS</t>
  </si>
  <si>
    <t>CIFRA DE NEGOCIOS</t>
  </si>
  <si>
    <t>SUBVENCIONES DE EXPLOTACIÓN</t>
  </si>
  <si>
    <t>CASH FLOW</t>
  </si>
  <si>
    <t>BALANCE</t>
  </si>
  <si>
    <t>COMPARATIVA CIERRE EJERCICIO ANTERIOR</t>
  </si>
  <si>
    <t>SALDO DEUDA ENTIDADES DE CTO</t>
  </si>
  <si>
    <t>TOTAL ACTIVO</t>
  </si>
  <si>
    <t>SALDO TESORERÍA</t>
  </si>
  <si>
    <t>FONDO DE MANIOBRA</t>
  </si>
  <si>
    <t>ESTADO DE FLUJO DE EFECTIVO</t>
  </si>
  <si>
    <t>FLUJO DE EFECTIVO DE EXPLOTACIÓN</t>
  </si>
  <si>
    <t>FLUJO DE EFECTIVO DE INVERSIÓN</t>
  </si>
  <si>
    <t>FLUJO DE EFECTIVO DE FINANCIACIÓN</t>
  </si>
  <si>
    <t>VARIACIÓN ACUMULADA</t>
  </si>
  <si>
    <t>2º Trimestre</t>
  </si>
  <si>
    <t>3er Trimestre</t>
  </si>
  <si>
    <t>4º Trimestre</t>
  </si>
  <si>
    <t>LIQUIDEZ</t>
  </si>
  <si>
    <t>GARANTIA</t>
  </si>
  <si>
    <t>ENDEUDAMIENTO</t>
  </si>
  <si>
    <t>MARGEN FINANCIERO</t>
  </si>
  <si>
    <t>MARGEN ECONOMICO</t>
  </si>
  <si>
    <t>1er TRIMESTRE</t>
  </si>
  <si>
    <t>3er TRIMESTRE</t>
  </si>
  <si>
    <t>INDICADORES ECONÓMICO-FINANCIEROS</t>
  </si>
  <si>
    <t>GASTOS</t>
  </si>
  <si>
    <t>INGRESOS</t>
  </si>
  <si>
    <t>Aprovis.</t>
  </si>
  <si>
    <t>Cifra negocios</t>
  </si>
  <si>
    <t>2. Variación de existencias de productos terminados y en curso</t>
  </si>
  <si>
    <t>Personal</t>
  </si>
  <si>
    <t>Subv.explot.</t>
  </si>
  <si>
    <t>11. Deterioro y resultado por enajenaciones del inmovilizado</t>
  </si>
  <si>
    <t>Amortiz.</t>
  </si>
  <si>
    <t>O.I.explotación</t>
  </si>
  <si>
    <t>15. Variación de valor razonable en instrumentos financieros</t>
  </si>
  <si>
    <t>O. G. Explot.</t>
  </si>
  <si>
    <t>Imput.subvenc.</t>
  </si>
  <si>
    <t>16. Diferencias de cambio</t>
  </si>
  <si>
    <t>Financieros</t>
  </si>
  <si>
    <t>17. Deterioro y resultado por enajenaciones de instrumentos financ.</t>
  </si>
  <si>
    <t>Impuesto soc.</t>
  </si>
  <si>
    <t>Otros ingresos</t>
  </si>
  <si>
    <t>19. Rdo. ejercicio procedente de op. interrumpidas neto de impuestos</t>
  </si>
  <si>
    <t>Otros gastos</t>
  </si>
  <si>
    <t>TOTAL</t>
  </si>
  <si>
    <t>IMPORTE PTO 2012</t>
  </si>
  <si>
    <t>IMPORTE PRESUPUESTO 2012</t>
  </si>
  <si>
    <t>31.03.12</t>
  </si>
  <si>
    <t>30.06.12</t>
  </si>
  <si>
    <t>30.09.12</t>
  </si>
  <si>
    <t>31.12.12</t>
  </si>
  <si>
    <t>FICHA 2.1</t>
  </si>
  <si>
    <t>FICHA 2.2</t>
  </si>
  <si>
    <t>Presupuesto 2012</t>
  </si>
  <si>
    <t xml:space="preserve">        2. Ayuntamiento, OOAA y Empr.Munic. proveedores</t>
  </si>
  <si>
    <t>SOCIEDAD: EMPRESA MUNICIPAL DE LA VIVIENDA Y SUELO DE MADRID, S.A.</t>
  </si>
  <si>
    <t xml:space="preserve">                  Venta viviendas, locales y garajes</t>
  </si>
  <si>
    <t xml:space="preserve">                  Alquileres</t>
  </si>
  <si>
    <t xml:space="preserve">                  Otras ventas (garajes/edifif.)</t>
  </si>
  <si>
    <t xml:space="preserve">                  Ventas de suelo</t>
  </si>
  <si>
    <t xml:space="preserve">                 Facturacion a la Entidad Gestora de Lavapiés</t>
  </si>
  <si>
    <t xml:space="preserve">                 Facturación 3% gastos gestión tramitación expedientes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</si>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</sst>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/m/yy"/>
  </numFmts>
  <fonts count="2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</font>
    <font>
      <b/>
      <sz val="12"/>
      <name val="Arial Narrow"/>
      <family val="2"/>
    </font>
    <font>
      <sz val="12"/>
      <name val="Arial"/>
    </font>
    <font>
      <b/>
      <sz val="14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 Narrow"/>
      <family val="2"/>
    </font>
    <font>
      <u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10"/>
      <name val="Arial"/>
      <family val="2"/>
    </font>
    <font>
      <sz val="10"/>
      <name val="Comic Sans MS"/>
    </font>
    <font>
      <b/>
      <sz val="12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u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 applyFill="0"/>
    <xf numFmtId="0" fontId="1" fillId="0" borderId="0"/>
    <xf numFmtId="0" fontId="18" fillId="0" borderId="0"/>
  </cellStyleXfs>
  <cellXfs count="255">
    <xf numFmtId="0" fontId="0" fillId="0" borderId="0" xfId="0"/>
    <xf numFmtId="14" fontId="6" fillId="2" borderId="1" xfId="0" applyNumberFormat="1" applyFont="1" applyFill="1" applyBorder="1" applyAlignment="1" applyProtection="1">
      <alignment horizontal="center" vertical="center"/>
    </xf>
    <xf numFmtId="14" fontId="6" fillId="2" borderId="2" xfId="0" applyNumberFormat="1" applyFont="1" applyFill="1" applyBorder="1" applyAlignment="1" applyProtection="1">
      <alignment horizontal="center" vertical="center"/>
    </xf>
    <xf numFmtId="14" fontId="6" fillId="2" borderId="3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165" fontId="9" fillId="2" borderId="4" xfId="0" applyNumberFormat="1" applyFont="1" applyFill="1" applyBorder="1" applyAlignment="1" applyProtection="1">
      <alignment horizontal="center" vertical="center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</xf>
    <xf numFmtId="3" fontId="10" fillId="0" borderId="6" xfId="0" applyNumberFormat="1" applyFont="1" applyFill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3" fontId="9" fillId="0" borderId="6" xfId="0" applyNumberFormat="1" applyFont="1" applyFill="1" applyBorder="1" applyAlignment="1" applyProtection="1">
      <alignment vertical="center"/>
    </xf>
    <xf numFmtId="3" fontId="4" fillId="0" borderId="10" xfId="0" applyNumberFormat="1" applyFont="1" applyBorder="1" applyAlignment="1" applyProtection="1">
      <alignment vertical="center"/>
    </xf>
    <xf numFmtId="3" fontId="4" fillId="0" borderId="0" xfId="0" applyNumberFormat="1" applyFont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3" fontId="4" fillId="0" borderId="7" xfId="0" applyNumberFormat="1" applyFont="1" applyBorder="1" applyAlignment="1" applyProtection="1">
      <alignment vertical="center"/>
    </xf>
    <xf numFmtId="0" fontId="15" fillId="0" borderId="7" xfId="0" applyFont="1" applyFill="1" applyBorder="1" applyAlignment="1" applyProtection="1">
      <alignment vertical="center"/>
    </xf>
    <xf numFmtId="3" fontId="6" fillId="0" borderId="7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3" fontId="6" fillId="0" borderId="1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vertical="center"/>
    </xf>
    <xf numFmtId="0" fontId="15" fillId="0" borderId="10" xfId="0" applyFont="1" applyFill="1" applyBorder="1" applyAlignment="1" applyProtection="1">
      <alignment vertical="center"/>
    </xf>
    <xf numFmtId="3" fontId="15" fillId="0" borderId="10" xfId="0" applyNumberFormat="1" applyFont="1" applyBorder="1" applyAlignment="1" applyProtection="1">
      <alignment vertical="center"/>
    </xf>
    <xf numFmtId="3" fontId="15" fillId="0" borderId="7" xfId="0" applyNumberFormat="1" applyFont="1" applyBorder="1" applyAlignment="1" applyProtection="1">
      <alignment vertical="center"/>
    </xf>
    <xf numFmtId="3" fontId="4" fillId="0" borderId="10" xfId="0" applyNumberFormat="1" applyFont="1" applyFill="1" applyBorder="1" applyAlignment="1" applyProtection="1">
      <alignment vertical="center"/>
    </xf>
    <xf numFmtId="3" fontId="15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3" fontId="9" fillId="0" borderId="12" xfId="0" applyNumberFormat="1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3" fontId="10" fillId="0" borderId="16" xfId="0" applyNumberFormat="1" applyFont="1" applyFill="1" applyBorder="1" applyAlignment="1" applyProtection="1">
      <alignment vertical="center"/>
    </xf>
    <xf numFmtId="3" fontId="10" fillId="0" borderId="6" xfId="0" applyNumberFormat="1" applyFont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3" fontId="10" fillId="0" borderId="17" xfId="0" applyNumberFormat="1" applyFont="1" applyFill="1" applyBorder="1" applyAlignment="1" applyProtection="1">
      <alignment vertical="center"/>
    </xf>
    <xf numFmtId="3" fontId="10" fillId="3" borderId="17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6" fillId="0" borderId="7" xfId="0" applyFont="1" applyFill="1" applyBorder="1" applyAlignment="1" applyProtection="1">
      <alignment horizontal="left" vertical="center"/>
    </xf>
    <xf numFmtId="0" fontId="16" fillId="0" borderId="10" xfId="0" applyFont="1" applyBorder="1" applyAlignment="1" applyProtection="1">
      <alignment vertical="center"/>
    </xf>
    <xf numFmtId="3" fontId="10" fillId="0" borderId="18" xfId="0" applyNumberFormat="1" applyFont="1" applyFill="1" applyBorder="1" applyAlignment="1" applyProtection="1">
      <alignment horizontal="center" vertical="center"/>
    </xf>
    <xf numFmtId="3" fontId="10" fillId="0" borderId="18" xfId="0" applyNumberFormat="1" applyFont="1" applyFill="1" applyBorder="1" applyAlignment="1" applyProtection="1">
      <alignment vertical="center"/>
    </xf>
    <xf numFmtId="3" fontId="10" fillId="3" borderId="18" xfId="0" applyNumberFormat="1" applyFont="1" applyFill="1" applyBorder="1" applyAlignment="1" applyProtection="1">
      <alignment vertical="center"/>
      <protection locked="0"/>
    </xf>
    <xf numFmtId="3" fontId="10" fillId="0" borderId="19" xfId="0" applyNumberFormat="1" applyFont="1" applyFill="1" applyBorder="1" applyAlignment="1" applyProtection="1">
      <alignment vertical="center"/>
    </xf>
    <xf numFmtId="3" fontId="10" fillId="3" borderId="20" xfId="0" applyNumberFormat="1" applyFont="1" applyFill="1" applyBorder="1" applyAlignment="1" applyProtection="1">
      <alignment vertical="center"/>
      <protection locked="0"/>
    </xf>
    <xf numFmtId="0" fontId="15" fillId="0" borderId="21" xfId="0" applyFont="1" applyFill="1" applyBorder="1" applyAlignment="1" applyProtection="1">
      <alignment vertical="center"/>
    </xf>
    <xf numFmtId="3" fontId="11" fillId="0" borderId="22" xfId="0" applyNumberFormat="1" applyFont="1" applyFill="1" applyBorder="1" applyAlignment="1" applyProtection="1">
      <alignment vertical="center"/>
    </xf>
    <xf numFmtId="0" fontId="15" fillId="0" borderId="23" xfId="0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2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3" fontId="9" fillId="0" borderId="25" xfId="0" applyNumberFormat="1" applyFont="1" applyFill="1" applyBorder="1" applyAlignment="1" applyProtection="1">
      <alignment vertical="center"/>
    </xf>
    <xf numFmtId="3" fontId="10" fillId="3" borderId="2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3" fontId="10" fillId="0" borderId="20" xfId="0" applyNumberFormat="1" applyFont="1" applyFill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3" fontId="10" fillId="0" borderId="26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7" fillId="0" borderId="31" xfId="0" applyFont="1" applyBorder="1" applyAlignment="1" applyProtection="1">
      <alignment vertical="center"/>
    </xf>
    <xf numFmtId="0" fontId="10" fillId="0" borderId="33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34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3" fontId="10" fillId="0" borderId="0" xfId="0" applyNumberFormat="1" applyFont="1" applyBorder="1" applyAlignment="1" applyProtection="1">
      <alignment vertical="center"/>
    </xf>
    <xf numFmtId="3" fontId="10" fillId="0" borderId="19" xfId="0" applyNumberFormat="1" applyFont="1" applyBorder="1" applyAlignment="1" applyProtection="1">
      <alignment vertical="center"/>
    </xf>
    <xf numFmtId="3" fontId="10" fillId="0" borderId="38" xfId="0" applyNumberFormat="1" applyFont="1" applyBorder="1" applyAlignment="1" applyProtection="1">
      <alignment vertical="center"/>
    </xf>
    <xf numFmtId="3" fontId="10" fillId="0" borderId="39" xfId="0" applyNumberFormat="1" applyFont="1" applyBorder="1" applyAlignment="1" applyProtection="1">
      <alignment vertical="center"/>
    </xf>
    <xf numFmtId="0" fontId="19" fillId="0" borderId="0" xfId="2" applyFont="1" applyAlignment="1">
      <alignment horizontal="center" vertical="center"/>
    </xf>
    <xf numFmtId="0" fontId="18" fillId="0" borderId="0" xfId="2"/>
    <xf numFmtId="0" fontId="19" fillId="0" borderId="0" xfId="2" applyFont="1" applyBorder="1" applyAlignment="1">
      <alignment horizontal="left" vertical="center"/>
    </xf>
    <xf numFmtId="0" fontId="19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right" vertical="center"/>
    </xf>
    <xf numFmtId="0" fontId="20" fillId="2" borderId="40" xfId="2" applyFont="1" applyFill="1" applyBorder="1" applyAlignment="1">
      <alignment vertical="center"/>
    </xf>
    <xf numFmtId="0" fontId="20" fillId="2" borderId="41" xfId="2" applyFont="1" applyFill="1" applyBorder="1" applyAlignment="1">
      <alignment vertical="center"/>
    </xf>
    <xf numFmtId="14" fontId="20" fillId="2" borderId="42" xfId="2" applyNumberFormat="1" applyFont="1" applyFill="1" applyBorder="1" applyAlignment="1">
      <alignment horizontal="center" vertical="center"/>
    </xf>
    <xf numFmtId="14" fontId="20" fillId="2" borderId="28" xfId="2" applyNumberFormat="1" applyFont="1" applyFill="1" applyBorder="1" applyAlignment="1">
      <alignment horizontal="center" vertical="center"/>
    </xf>
    <xf numFmtId="14" fontId="20" fillId="2" borderId="43" xfId="2" applyNumberFormat="1" applyFont="1" applyFill="1" applyBorder="1" applyAlignment="1">
      <alignment horizontal="center" vertical="center"/>
    </xf>
    <xf numFmtId="0" fontId="20" fillId="2" borderId="42" xfId="2" applyFont="1" applyFill="1" applyBorder="1" applyAlignment="1">
      <alignment horizontal="center" vertical="center"/>
    </xf>
    <xf numFmtId="14" fontId="20" fillId="2" borderId="44" xfId="2" applyNumberFormat="1" applyFont="1" applyFill="1" applyBorder="1" applyAlignment="1">
      <alignment horizontal="center" vertical="center"/>
    </xf>
    <xf numFmtId="0" fontId="21" fillId="5" borderId="45" xfId="2" applyFont="1" applyFill="1" applyBorder="1" applyAlignment="1">
      <alignment vertical="center"/>
    </xf>
    <xf numFmtId="3" fontId="20" fillId="5" borderId="46" xfId="2" applyNumberFormat="1" applyFont="1" applyFill="1" applyBorder="1" applyAlignment="1">
      <alignment vertical="center"/>
    </xf>
    <xf numFmtId="3" fontId="20" fillId="5" borderId="47" xfId="2" applyNumberFormat="1" applyFont="1" applyFill="1" applyBorder="1" applyAlignment="1">
      <alignment vertical="center"/>
    </xf>
    <xf numFmtId="164" fontId="20" fillId="5" borderId="48" xfId="2" applyNumberFormat="1" applyFont="1" applyFill="1" applyBorder="1" applyAlignment="1">
      <alignment vertical="center"/>
    </xf>
    <xf numFmtId="0" fontId="20" fillId="0" borderId="49" xfId="2" applyFont="1" applyFill="1" applyBorder="1" applyAlignment="1">
      <alignment vertical="center"/>
    </xf>
    <xf numFmtId="3" fontId="20" fillId="0" borderId="50" xfId="2" applyNumberFormat="1" applyFont="1" applyFill="1" applyBorder="1" applyAlignment="1">
      <alignment vertical="center"/>
    </xf>
    <xf numFmtId="3" fontId="20" fillId="0" borderId="0" xfId="2" applyNumberFormat="1" applyFont="1" applyFill="1" applyBorder="1" applyAlignment="1">
      <alignment vertical="center"/>
    </xf>
    <xf numFmtId="164" fontId="20" fillId="0" borderId="51" xfId="2" applyNumberFormat="1" applyFont="1" applyFill="1" applyBorder="1" applyAlignment="1">
      <alignment vertical="center"/>
    </xf>
    <xf numFmtId="0" fontId="20" fillId="0" borderId="41" xfId="2" applyFont="1" applyFill="1" applyBorder="1" applyAlignment="1">
      <alignment vertical="center"/>
    </xf>
    <xf numFmtId="3" fontId="20" fillId="0" borderId="52" xfId="2" applyNumberFormat="1" applyFont="1" applyFill="1" applyBorder="1" applyAlignment="1">
      <alignment vertical="center"/>
    </xf>
    <xf numFmtId="3" fontId="20" fillId="0" borderId="53" xfId="2" applyNumberFormat="1" applyFont="1" applyFill="1" applyBorder="1" applyAlignment="1">
      <alignment vertical="center"/>
    </xf>
    <xf numFmtId="164" fontId="20" fillId="0" borderId="54" xfId="2" applyNumberFormat="1" applyFont="1" applyFill="1" applyBorder="1" applyAlignment="1">
      <alignment vertical="center"/>
    </xf>
    <xf numFmtId="0" fontId="20" fillId="0" borderId="0" xfId="2" applyFont="1" applyBorder="1" applyAlignment="1">
      <alignment vertical="center"/>
    </xf>
    <xf numFmtId="3" fontId="20" fillId="0" borderId="0" xfId="2" applyNumberFormat="1" applyFont="1" applyBorder="1" applyAlignment="1">
      <alignment vertical="center"/>
    </xf>
    <xf numFmtId="164" fontId="20" fillId="0" borderId="0" xfId="2" applyNumberFormat="1" applyFont="1" applyBorder="1" applyAlignment="1">
      <alignment vertical="center"/>
    </xf>
    <xf numFmtId="0" fontId="20" fillId="2" borderId="0" xfId="2" applyFont="1" applyFill="1" applyAlignment="1">
      <alignment vertical="center"/>
    </xf>
    <xf numFmtId="0" fontId="20" fillId="2" borderId="55" xfId="2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20" fillId="2" borderId="56" xfId="2" applyFont="1" applyFill="1" applyBorder="1" applyAlignment="1">
      <alignment vertical="center"/>
    </xf>
    <xf numFmtId="0" fontId="20" fillId="2" borderId="57" xfId="2" applyFont="1" applyFill="1" applyBorder="1" applyAlignment="1">
      <alignment vertical="center"/>
    </xf>
    <xf numFmtId="0" fontId="18" fillId="2" borderId="55" xfId="2" applyFill="1" applyBorder="1"/>
    <xf numFmtId="0" fontId="20" fillId="2" borderId="58" xfId="2" applyFont="1" applyFill="1" applyBorder="1" applyAlignment="1">
      <alignment vertical="center"/>
    </xf>
    <xf numFmtId="0" fontId="18" fillId="2" borderId="53" xfId="2" applyFill="1" applyBorder="1"/>
    <xf numFmtId="0" fontId="18" fillId="2" borderId="43" xfId="2" applyFill="1" applyBorder="1"/>
    <xf numFmtId="0" fontId="20" fillId="0" borderId="56" xfId="2" applyFont="1" applyFill="1" applyBorder="1" applyAlignment="1">
      <alignment vertical="center"/>
    </xf>
    <xf numFmtId="3" fontId="20" fillId="0" borderId="59" xfId="2" applyNumberFormat="1" applyFont="1" applyFill="1" applyBorder="1" applyAlignment="1">
      <alignment vertical="center"/>
    </xf>
    <xf numFmtId="0" fontId="20" fillId="0" borderId="60" xfId="2" applyFont="1" applyFill="1" applyBorder="1" applyAlignment="1">
      <alignment vertical="center"/>
    </xf>
    <xf numFmtId="0" fontId="20" fillId="0" borderId="61" xfId="2" applyFont="1" applyFill="1" applyBorder="1" applyAlignment="1">
      <alignment vertical="center"/>
    </xf>
    <xf numFmtId="3" fontId="20" fillId="0" borderId="62" xfId="2" applyNumberFormat="1" applyFont="1" applyFill="1" applyBorder="1" applyAlignment="1">
      <alignment vertical="center"/>
    </xf>
    <xf numFmtId="3" fontId="20" fillId="0" borderId="63" xfId="2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4" fillId="0" borderId="31" xfId="0" applyFont="1" applyFill="1" applyBorder="1" applyAlignment="1">
      <alignment horizontal="center" vertical="center" wrapText="1"/>
    </xf>
    <xf numFmtId="0" fontId="24" fillId="0" borderId="64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3" fontId="23" fillId="0" borderId="31" xfId="0" applyNumberFormat="1" applyFont="1" applyBorder="1" applyAlignment="1">
      <alignment horizontal="right" vertical="center"/>
    </xf>
    <xf numFmtId="2" fontId="23" fillId="0" borderId="64" xfId="0" applyNumberFormat="1" applyFont="1" applyBorder="1" applyAlignment="1">
      <alignment horizontal="right" vertical="center"/>
    </xf>
    <xf numFmtId="164" fontId="23" fillId="0" borderId="64" xfId="0" applyNumberFormat="1" applyFont="1" applyBorder="1" applyAlignment="1">
      <alignment horizontal="right" vertical="center"/>
    </xf>
    <xf numFmtId="164" fontId="23" fillId="0" borderId="33" xfId="0" applyNumberFormat="1" applyFont="1" applyBorder="1" applyAlignment="1">
      <alignment horizontal="right" vertical="center"/>
    </xf>
    <xf numFmtId="3" fontId="23" fillId="0" borderId="64" xfId="0" applyNumberFormat="1" applyFont="1" applyBorder="1" applyAlignment="1">
      <alignment horizontal="right" vertical="center"/>
    </xf>
    <xf numFmtId="2" fontId="23" fillId="0" borderId="33" xfId="0" applyNumberFormat="1" applyFont="1" applyBorder="1" applyAlignment="1">
      <alignment horizontal="right" vertical="center"/>
    </xf>
    <xf numFmtId="3" fontId="20" fillId="0" borderId="60" xfId="2" applyNumberFormat="1" applyFont="1" applyFill="1" applyBorder="1" applyAlignment="1">
      <alignment vertical="center"/>
    </xf>
    <xf numFmtId="3" fontId="20" fillId="0" borderId="18" xfId="2" applyNumberFormat="1" applyFont="1" applyFill="1" applyBorder="1" applyAlignment="1">
      <alignment vertical="center"/>
    </xf>
    <xf numFmtId="3" fontId="20" fillId="0" borderId="65" xfId="2" applyNumberFormat="1" applyFont="1" applyFill="1" applyBorder="1" applyAlignment="1">
      <alignment vertical="center"/>
    </xf>
    <xf numFmtId="3" fontId="20" fillId="0" borderId="66" xfId="2" applyNumberFormat="1" applyFont="1" applyFill="1" applyBorder="1" applyAlignment="1">
      <alignment vertical="center"/>
    </xf>
    <xf numFmtId="3" fontId="20" fillId="0" borderId="67" xfId="2" applyNumberFormat="1" applyFont="1" applyFill="1" applyBorder="1" applyAlignment="1">
      <alignment vertical="center"/>
    </xf>
    <xf numFmtId="0" fontId="0" fillId="0" borderId="68" xfId="0" applyBorder="1"/>
    <xf numFmtId="14" fontId="12" fillId="0" borderId="69" xfId="0" applyNumberFormat="1" applyFont="1" applyBorder="1" applyAlignment="1">
      <alignment horizontal="center"/>
    </xf>
    <xf numFmtId="14" fontId="12" fillId="4" borderId="69" xfId="0" applyNumberFormat="1" applyFont="1" applyFill="1" applyBorder="1"/>
    <xf numFmtId="0" fontId="0" fillId="0" borderId="69" xfId="0" applyBorder="1"/>
    <xf numFmtId="14" fontId="12" fillId="0" borderId="70" xfId="0" applyNumberFormat="1" applyFont="1" applyBorder="1"/>
    <xf numFmtId="0" fontId="0" fillId="0" borderId="68" xfId="0" applyBorder="1" applyAlignment="1">
      <alignment horizontal="right"/>
    </xf>
    <xf numFmtId="0" fontId="2" fillId="0" borderId="69" xfId="0" applyFont="1" applyBorder="1"/>
    <xf numFmtId="0" fontId="12" fillId="0" borderId="9" xfId="0" applyFont="1" applyBorder="1"/>
    <xf numFmtId="0" fontId="0" fillId="0" borderId="10" xfId="0" applyBorder="1"/>
    <xf numFmtId="3" fontId="0" fillId="0" borderId="0" xfId="0" applyNumberFormat="1" applyBorder="1"/>
    <xf numFmtId="0" fontId="0" fillId="0" borderId="0" xfId="0" applyBorder="1"/>
    <xf numFmtId="3" fontId="0" fillId="0" borderId="19" xfId="0" applyNumberFormat="1" applyBorder="1"/>
    <xf numFmtId="0" fontId="16" fillId="0" borderId="10" xfId="0" applyFont="1" applyBorder="1" applyAlignment="1" applyProtection="1">
      <alignment horizontal="left" vertical="center"/>
    </xf>
    <xf numFmtId="0" fontId="0" fillId="0" borderId="19" xfId="0" applyBorder="1"/>
    <xf numFmtId="0" fontId="0" fillId="0" borderId="0" xfId="0" applyFill="1" applyBorder="1"/>
    <xf numFmtId="0" fontId="0" fillId="0" borderId="65" xfId="0" applyFill="1" applyBorder="1"/>
    <xf numFmtId="0" fontId="1" fillId="0" borderId="10" xfId="0" applyFont="1" applyBorder="1"/>
    <xf numFmtId="0" fontId="12" fillId="0" borderId="0" xfId="0" applyFont="1" applyBorder="1"/>
    <xf numFmtId="0" fontId="12" fillId="0" borderId="19" xfId="0" applyFont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19" xfId="0" applyNumberFormat="1" applyFont="1" applyBorder="1"/>
    <xf numFmtId="3" fontId="0" fillId="0" borderId="27" xfId="0" applyNumberFormat="1" applyBorder="1" applyAlignment="1">
      <alignment horizontal="right"/>
    </xf>
    <xf numFmtId="3" fontId="0" fillId="0" borderId="71" xfId="0" applyNumberFormat="1" applyBorder="1"/>
    <xf numFmtId="3" fontId="0" fillId="0" borderId="72" xfId="0" applyNumberFormat="1" applyBorder="1"/>
    <xf numFmtId="0" fontId="0" fillId="0" borderId="71" xfId="0" applyBorder="1"/>
    <xf numFmtId="0" fontId="0" fillId="0" borderId="73" xfId="0" applyBorder="1"/>
    <xf numFmtId="0" fontId="2" fillId="0" borderId="0" xfId="0" applyFont="1"/>
    <xf numFmtId="0" fontId="2" fillId="0" borderId="10" xfId="0" applyFont="1" applyBorder="1"/>
    <xf numFmtId="0" fontId="2" fillId="0" borderId="19" xfId="0" applyFont="1" applyBorder="1"/>
    <xf numFmtId="0" fontId="0" fillId="0" borderId="27" xfId="0" applyBorder="1"/>
    <xf numFmtId="0" fontId="0" fillId="0" borderId="72" xfId="0" applyBorder="1"/>
    <xf numFmtId="0" fontId="0" fillId="0" borderId="32" xfId="0" applyBorder="1" applyAlignment="1" applyProtection="1">
      <alignment vertical="center"/>
    </xf>
    <xf numFmtId="0" fontId="6" fillId="0" borderId="0" xfId="1" applyFont="1" applyFill="1" applyProtection="1">
      <protection locked="0"/>
    </xf>
    <xf numFmtId="3" fontId="10" fillId="0" borderId="74" xfId="0" applyNumberFormat="1" applyFont="1" applyFill="1" applyBorder="1" applyAlignment="1" applyProtection="1">
      <alignment vertical="center"/>
    </xf>
    <xf numFmtId="3" fontId="10" fillId="0" borderId="75" xfId="0" applyNumberFormat="1" applyFont="1" applyFill="1" applyBorder="1" applyAlignment="1" applyProtection="1">
      <alignment horizontal="center" vertical="center"/>
    </xf>
    <xf numFmtId="3" fontId="10" fillId="0" borderId="76" xfId="0" applyNumberFormat="1" applyFont="1" applyFill="1" applyBorder="1" applyAlignment="1" applyProtection="1">
      <alignment vertical="center"/>
    </xf>
    <xf numFmtId="3" fontId="11" fillId="0" borderId="77" xfId="0" applyNumberFormat="1" applyFont="1" applyFill="1" applyBorder="1" applyAlignment="1" applyProtection="1">
      <alignment vertical="center"/>
    </xf>
    <xf numFmtId="3" fontId="10" fillId="0" borderId="65" xfId="0" applyNumberFormat="1" applyFont="1" applyFill="1" applyBorder="1" applyAlignment="1" applyProtection="1">
      <alignment vertical="center"/>
    </xf>
    <xf numFmtId="3" fontId="10" fillId="0" borderId="78" xfId="0" applyNumberFormat="1" applyFont="1" applyFill="1" applyBorder="1" applyAlignment="1" applyProtection="1">
      <alignment vertical="center"/>
    </xf>
    <xf numFmtId="3" fontId="9" fillId="0" borderId="79" xfId="0" applyNumberFormat="1" applyFont="1" applyFill="1" applyBorder="1" applyAlignment="1" applyProtection="1">
      <alignment vertical="center"/>
    </xf>
    <xf numFmtId="3" fontId="10" fillId="0" borderId="16" xfId="0" applyNumberFormat="1" applyFont="1" applyFill="1" applyBorder="1" applyAlignment="1" applyProtection="1">
      <alignment horizontal="center" vertical="center"/>
    </xf>
    <xf numFmtId="3" fontId="10" fillId="0" borderId="80" xfId="0" applyNumberFormat="1" applyFont="1" applyFill="1" applyBorder="1" applyAlignment="1" applyProtection="1">
      <alignment vertical="center"/>
    </xf>
    <xf numFmtId="3" fontId="10" fillId="0" borderId="75" xfId="0" applyNumberFormat="1" applyFont="1" applyFill="1" applyBorder="1" applyAlignment="1" applyProtection="1">
      <alignment vertical="center"/>
    </xf>
    <xf numFmtId="3" fontId="9" fillId="0" borderId="74" xfId="0" applyNumberFormat="1" applyFont="1" applyFill="1" applyBorder="1" applyAlignment="1" applyProtection="1">
      <alignment vertical="center"/>
    </xf>
    <xf numFmtId="3" fontId="9" fillId="0" borderId="81" xfId="0" applyNumberFormat="1" applyFont="1" applyFill="1" applyBorder="1" applyAlignment="1" applyProtection="1">
      <alignment vertical="center"/>
    </xf>
    <xf numFmtId="3" fontId="9" fillId="0" borderId="29" xfId="0" applyNumberFormat="1" applyFont="1" applyFill="1" applyBorder="1" applyAlignment="1" applyProtection="1">
      <alignment vertical="center"/>
    </xf>
    <xf numFmtId="0" fontId="0" fillId="0" borderId="74" xfId="0" applyFill="1" applyBorder="1" applyAlignment="1" applyProtection="1">
      <alignment vertical="center"/>
    </xf>
    <xf numFmtId="0" fontId="0" fillId="0" borderId="82" xfId="0" applyFill="1" applyBorder="1" applyAlignment="1" applyProtection="1">
      <alignment vertical="center"/>
    </xf>
    <xf numFmtId="3" fontId="0" fillId="0" borderId="6" xfId="0" applyNumberFormat="1" applyFill="1" applyBorder="1" applyAlignment="1" applyProtection="1">
      <alignment vertical="center"/>
    </xf>
    <xf numFmtId="3" fontId="0" fillId="0" borderId="32" xfId="0" applyNumberFormat="1" applyFill="1" applyBorder="1" applyAlignment="1" applyProtection="1">
      <alignment vertical="center"/>
    </xf>
    <xf numFmtId="0" fontId="19" fillId="0" borderId="0" xfId="2" applyFont="1" applyAlignment="1">
      <alignment horizontal="center" vertical="center"/>
    </xf>
    <xf numFmtId="0" fontId="19" fillId="0" borderId="53" xfId="2" applyFont="1" applyBorder="1" applyAlignment="1">
      <alignment horizontal="left" vertical="center"/>
    </xf>
    <xf numFmtId="0" fontId="18" fillId="0" borderId="53" xfId="2" applyBorder="1" applyAlignment="1">
      <alignment horizontal="left"/>
    </xf>
    <xf numFmtId="0" fontId="20" fillId="2" borderId="85" xfId="2" applyFont="1" applyFill="1" applyBorder="1" applyAlignment="1">
      <alignment horizontal="center"/>
    </xf>
    <xf numFmtId="0" fontId="18" fillId="2" borderId="47" xfId="2" applyFill="1" applyBorder="1" applyAlignment="1">
      <alignment horizontal="center"/>
    </xf>
    <xf numFmtId="0" fontId="18" fillId="2" borderId="86" xfId="2" applyFill="1" applyBorder="1" applyAlignment="1">
      <alignment horizontal="center"/>
    </xf>
    <xf numFmtId="0" fontId="20" fillId="2" borderId="85" xfId="2" applyFont="1" applyFill="1" applyBorder="1" applyAlignment="1">
      <alignment horizontal="center" vertical="center"/>
    </xf>
    <xf numFmtId="0" fontId="18" fillId="2" borderId="86" xfId="2" applyFill="1" applyBorder="1" applyAlignment="1">
      <alignment horizontal="center" vertical="center"/>
    </xf>
    <xf numFmtId="3" fontId="20" fillId="0" borderId="83" xfId="2" applyNumberFormat="1" applyFont="1" applyFill="1" applyBorder="1" applyAlignment="1">
      <alignment horizontal="right" vertical="center"/>
    </xf>
    <xf numFmtId="3" fontId="20" fillId="0" borderId="84" xfId="2" applyNumberFormat="1" applyFont="1" applyFill="1" applyBorder="1" applyAlignment="1">
      <alignment horizontal="right" vertical="center"/>
    </xf>
    <xf numFmtId="0" fontId="18" fillId="0" borderId="47" xfId="2" applyBorder="1" applyAlignment="1">
      <alignment horizontal="center"/>
    </xf>
    <xf numFmtId="0" fontId="18" fillId="0" borderId="86" xfId="2" applyBorder="1" applyAlignment="1">
      <alignment horizontal="center"/>
    </xf>
    <xf numFmtId="3" fontId="19" fillId="0" borderId="53" xfId="2" applyNumberFormat="1" applyFont="1" applyBorder="1" applyAlignment="1">
      <alignment horizontal="left" vertical="center"/>
    </xf>
    <xf numFmtId="0" fontId="18" fillId="0" borderId="53" xfId="2" applyBorder="1" applyAlignment="1">
      <alignment horizontal="left" vertical="center"/>
    </xf>
    <xf numFmtId="0" fontId="20" fillId="2" borderId="58" xfId="2" applyFont="1" applyFill="1" applyBorder="1" applyAlignment="1">
      <alignment horizontal="center" vertical="center"/>
    </xf>
    <xf numFmtId="0" fontId="18" fillId="0" borderId="43" xfId="2" applyBorder="1" applyAlignment="1">
      <alignment horizontal="center" vertical="center"/>
    </xf>
    <xf numFmtId="3" fontId="20" fillId="0" borderId="87" xfId="2" applyNumberFormat="1" applyFont="1" applyFill="1" applyBorder="1" applyAlignment="1">
      <alignment horizontal="right" vertical="center"/>
    </xf>
    <xf numFmtId="3" fontId="20" fillId="0" borderId="63" xfId="2" applyNumberFormat="1" applyFont="1" applyFill="1" applyBorder="1" applyAlignment="1">
      <alignment horizontal="right" vertical="center"/>
    </xf>
    <xf numFmtId="0" fontId="20" fillId="2" borderId="88" xfId="2" applyFont="1" applyFill="1" applyBorder="1" applyAlignment="1">
      <alignment horizontal="center" vertical="center"/>
    </xf>
    <xf numFmtId="0" fontId="20" fillId="2" borderId="63" xfId="2" applyFont="1" applyFill="1" applyBorder="1" applyAlignment="1">
      <alignment horizontal="center" vertical="center"/>
    </xf>
    <xf numFmtId="3" fontId="20" fillId="0" borderId="89" xfId="2" applyNumberFormat="1" applyFont="1" applyFill="1" applyBorder="1" applyAlignment="1">
      <alignment horizontal="right" vertical="center"/>
    </xf>
    <xf numFmtId="3" fontId="20" fillId="0" borderId="55" xfId="2" applyNumberFormat="1" applyFont="1" applyFill="1" applyBorder="1" applyAlignment="1">
      <alignment horizontal="right" vertical="center"/>
    </xf>
    <xf numFmtId="3" fontId="20" fillId="0" borderId="10" xfId="2" applyNumberFormat="1" applyFont="1" applyFill="1" applyBorder="1" applyAlignment="1">
      <alignment horizontal="right" vertical="center"/>
    </xf>
    <xf numFmtId="3" fontId="20" fillId="0" borderId="59" xfId="2" applyNumberFormat="1" applyFont="1" applyFill="1" applyBorder="1" applyAlignment="1">
      <alignment horizontal="right" vertical="center"/>
    </xf>
    <xf numFmtId="3" fontId="20" fillId="0" borderId="90" xfId="2" applyNumberFormat="1" applyFont="1" applyFill="1" applyBorder="1" applyAlignment="1">
      <alignment horizontal="right" vertical="center"/>
    </xf>
    <xf numFmtId="3" fontId="20" fillId="0" borderId="91" xfId="2" applyNumberFormat="1" applyFont="1" applyFill="1" applyBorder="1" applyAlignment="1">
      <alignment horizontal="right" vertical="center"/>
    </xf>
    <xf numFmtId="3" fontId="20" fillId="5" borderId="85" xfId="2" applyNumberFormat="1" applyFont="1" applyFill="1" applyBorder="1" applyAlignment="1">
      <alignment horizontal="right" vertical="center"/>
    </xf>
    <xf numFmtId="3" fontId="20" fillId="5" borderId="86" xfId="2" applyNumberFormat="1" applyFont="1" applyFill="1" applyBorder="1" applyAlignment="1">
      <alignment horizontal="right" vertical="center"/>
    </xf>
    <xf numFmtId="3" fontId="20" fillId="0" borderId="60" xfId="2" applyNumberFormat="1" applyFont="1" applyFill="1" applyBorder="1" applyAlignment="1">
      <alignment horizontal="right" vertical="center"/>
    </xf>
    <xf numFmtId="3" fontId="20" fillId="0" borderId="58" xfId="2" applyNumberFormat="1" applyFont="1" applyFill="1" applyBorder="1" applyAlignment="1">
      <alignment horizontal="right" vertical="center"/>
    </xf>
    <xf numFmtId="3" fontId="20" fillId="0" borderId="43" xfId="2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3">
    <cellStyle name="Normal" xfId="0" builtinId="0"/>
    <cellStyle name="Normal_ANEXO 3 MODELO" xfId="1"/>
    <cellStyle name="Normal_cuadro" xfId="2"/>
  </cellStyles>
  <dxfs count="1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7DD"/>
      <color rgb="FFFFEEB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sqref="A1:F1"/>
    </sheetView>
  </sheetViews>
  <sheetFormatPr baseColWidth="10" defaultColWidth="12.5703125" defaultRowHeight="15" x14ac:dyDescent="0.3"/>
  <cols>
    <col min="1" max="1" width="38.28515625" style="107" customWidth="1"/>
    <col min="2" max="3" width="15.7109375" style="107" customWidth="1"/>
    <col min="4" max="4" width="21.42578125" style="107" customWidth="1"/>
    <col min="5" max="5" width="23" style="107" customWidth="1"/>
    <col min="6" max="6" width="13" style="107" customWidth="1"/>
    <col min="7" max="16384" width="12.5703125" style="107"/>
  </cols>
  <sheetData>
    <row r="1" spans="1:6" x14ac:dyDescent="0.3">
      <c r="A1" s="220"/>
      <c r="B1" s="220"/>
      <c r="C1" s="220"/>
      <c r="D1" s="220"/>
      <c r="E1" s="220"/>
      <c r="F1" s="220"/>
    </row>
    <row r="2" spans="1:6" x14ac:dyDescent="0.3">
      <c r="A2" s="108" t="str">
        <f>PyG!B7</f>
        <v>SOCIEDAD: EMPRESA MUNICIPAL DE LA VIVIENDA Y SUELO DE MADRID, S.A.</v>
      </c>
      <c r="B2" s="109"/>
      <c r="C2" s="109"/>
      <c r="D2" s="109"/>
      <c r="F2" s="110" t="s">
        <v>183</v>
      </c>
    </row>
    <row r="3" spans="1:6" x14ac:dyDescent="0.3">
      <c r="A3" s="106"/>
      <c r="B3" s="106"/>
      <c r="C3" s="106"/>
      <c r="D3" s="106"/>
      <c r="E3" s="106"/>
      <c r="F3" s="106"/>
    </row>
    <row r="4" spans="1:6" ht="15.75" thickBot="1" x14ac:dyDescent="0.35">
      <c r="A4" s="221" t="s">
        <v>184</v>
      </c>
      <c r="B4" s="222"/>
      <c r="C4" s="222"/>
      <c r="D4" s="222"/>
      <c r="E4" s="222"/>
      <c r="F4" s="222"/>
    </row>
    <row r="5" spans="1:6" ht="15.75" thickTop="1" x14ac:dyDescent="0.3">
      <c r="A5" s="111"/>
      <c r="B5" s="223" t="s">
        <v>185</v>
      </c>
      <c r="C5" s="224"/>
      <c r="D5" s="225"/>
      <c r="E5" s="226" t="s">
        <v>186</v>
      </c>
      <c r="F5" s="227"/>
    </row>
    <row r="6" spans="1:6" ht="15.75" thickBot="1" x14ac:dyDescent="0.35">
      <c r="A6" s="112"/>
      <c r="B6" s="113">
        <v>40999</v>
      </c>
      <c r="C6" s="114">
        <v>40633</v>
      </c>
      <c r="D6" s="115" t="s">
        <v>187</v>
      </c>
      <c r="E6" s="116" t="s">
        <v>238</v>
      </c>
      <c r="F6" s="117" t="s">
        <v>188</v>
      </c>
    </row>
    <row r="7" spans="1:6" ht="15.75" thickTop="1" x14ac:dyDescent="0.3">
      <c r="A7" s="118" t="s">
        <v>189</v>
      </c>
      <c r="B7" s="119">
        <f>PyG!C84</f>
        <v>-5924608.209999999</v>
      </c>
      <c r="C7" s="120">
        <f>PyG!G84</f>
        <v>45692.850000001956</v>
      </c>
      <c r="D7" s="121">
        <f>(B7-C7)/ABS(C7)</f>
        <v>-130.66160373011849</v>
      </c>
      <c r="E7" s="119">
        <f>PyG!K84</f>
        <v>2.000001072883606E-2</v>
      </c>
      <c r="F7" s="121">
        <f t="shared" ref="F7:F12" si="0">B7/E7</f>
        <v>-296230251.5897097</v>
      </c>
    </row>
    <row r="8" spans="1:6" x14ac:dyDescent="0.3">
      <c r="A8" s="122" t="s">
        <v>190</v>
      </c>
      <c r="B8" s="123">
        <f>PyG!M95</f>
        <v>33125109.579999998</v>
      </c>
      <c r="C8" s="124">
        <f>PyG!Q95</f>
        <v>29098546.800000004</v>
      </c>
      <c r="D8" s="125">
        <f>(B8-C8)/C8</f>
        <v>0.13837676526169318</v>
      </c>
      <c r="E8" s="124">
        <f>PyG!U95</f>
        <v>244803136.72000003</v>
      </c>
      <c r="F8" s="125">
        <f t="shared" si="0"/>
        <v>0.13531325629167779</v>
      </c>
    </row>
    <row r="9" spans="1:6" x14ac:dyDescent="0.3">
      <c r="A9" s="122" t="s">
        <v>191</v>
      </c>
      <c r="B9" s="123">
        <f>PyG!C96</f>
        <v>39049717.789999999</v>
      </c>
      <c r="C9" s="124">
        <f>PyG!G96</f>
        <v>29052853.950000003</v>
      </c>
      <c r="D9" s="125">
        <f>(B9-C9)/C9</f>
        <v>0.34409231730571499</v>
      </c>
      <c r="E9" s="124">
        <f>PyG!K96</f>
        <v>244803136.69999999</v>
      </c>
      <c r="F9" s="125">
        <f t="shared" si="0"/>
        <v>0.15951477712417728</v>
      </c>
    </row>
    <row r="10" spans="1:6" x14ac:dyDescent="0.3">
      <c r="A10" s="122" t="s">
        <v>192</v>
      </c>
      <c r="B10" s="123">
        <f>PyG!C13</f>
        <v>15399280.57</v>
      </c>
      <c r="C10" s="124">
        <f>PyG!G13</f>
        <v>12041242.82</v>
      </c>
      <c r="D10" s="125">
        <f>(B10-C10)/C10</f>
        <v>0.27887800289372455</v>
      </c>
      <c r="E10" s="124">
        <f>PyG!K13</f>
        <v>140328260</v>
      </c>
      <c r="F10" s="125">
        <f t="shared" si="0"/>
        <v>0.1097375579943769</v>
      </c>
    </row>
    <row r="11" spans="1:6" x14ac:dyDescent="0.3">
      <c r="A11" s="122" t="s">
        <v>193</v>
      </c>
      <c r="B11" s="123">
        <f>PyG!C33+PyG!C34</f>
        <v>8667903.0800000001</v>
      </c>
      <c r="C11" s="124">
        <f>PyG!G33+PyG!G34</f>
        <v>7807787.7800000003</v>
      </c>
      <c r="D11" s="125">
        <f>(B11-C11)/C11</f>
        <v>0.11016120368988817</v>
      </c>
      <c r="E11" s="124">
        <f>PyG!K33+PyG!K34</f>
        <v>43040207.800000004</v>
      </c>
      <c r="F11" s="125">
        <f t="shared" si="0"/>
        <v>0.20139082785748072</v>
      </c>
    </row>
    <row r="12" spans="1:6" ht="15.75" thickBot="1" x14ac:dyDescent="0.35">
      <c r="A12" s="126" t="s">
        <v>194</v>
      </c>
      <c r="B12" s="127">
        <f>RATIOS!F6</f>
        <v>-3623745.709999999</v>
      </c>
      <c r="C12" s="128">
        <f>PyG!G84-PyG!G44</f>
        <v>2139561.0200000019</v>
      </c>
      <c r="D12" s="129">
        <f>(B12-C12)/ABS(C12)</f>
        <v>-2.693686544167829</v>
      </c>
      <c r="E12" s="128">
        <f>PyG!K84-PyG!K44</f>
        <v>7900000.0200000107</v>
      </c>
      <c r="F12" s="129">
        <f t="shared" si="0"/>
        <v>-0.45870198744632334</v>
      </c>
    </row>
    <row r="13" spans="1:6" ht="15.75" thickTop="1" x14ac:dyDescent="0.3">
      <c r="A13" s="130"/>
      <c r="B13" s="131"/>
      <c r="C13" s="131"/>
      <c r="D13" s="132"/>
      <c r="E13" s="131"/>
      <c r="F13" s="132"/>
    </row>
    <row r="14" spans="1:6" ht="15.75" thickBot="1" x14ac:dyDescent="0.35">
      <c r="A14" s="232" t="s">
        <v>195</v>
      </c>
      <c r="B14" s="233"/>
      <c r="C14" s="233"/>
      <c r="D14" s="233"/>
      <c r="E14" s="233"/>
      <c r="F14" s="233"/>
    </row>
    <row r="15" spans="1:6" ht="15.75" thickTop="1" x14ac:dyDescent="0.3">
      <c r="A15" s="111"/>
      <c r="B15" s="223" t="s">
        <v>196</v>
      </c>
      <c r="C15" s="230"/>
      <c r="D15" s="231"/>
      <c r="E15" s="133"/>
      <c r="F15" s="134"/>
    </row>
    <row r="16" spans="1:6" ht="15.75" thickBot="1" x14ac:dyDescent="0.35">
      <c r="A16" s="112"/>
      <c r="B16" s="113">
        <f>B6</f>
        <v>40999</v>
      </c>
      <c r="C16" s="114">
        <v>40908</v>
      </c>
      <c r="D16" s="115" t="s">
        <v>187</v>
      </c>
      <c r="E16" s="234" t="s">
        <v>239</v>
      </c>
      <c r="F16" s="235"/>
    </row>
    <row r="17" spans="1:6" ht="15.75" thickTop="1" x14ac:dyDescent="0.3">
      <c r="A17" s="118" t="s">
        <v>197</v>
      </c>
      <c r="B17" s="119">
        <f>BAL!I43+BAL!I55</f>
        <v>698253736.92000008</v>
      </c>
      <c r="C17" s="120">
        <f>BAL!M43+BAL!M55</f>
        <v>708867787.49000001</v>
      </c>
      <c r="D17" s="121">
        <f>(B17-C17)/C17</f>
        <v>-1.4973244316239529E-2</v>
      </c>
      <c r="E17" s="246">
        <f>BAL!N43+BAL!N55</f>
        <v>773003419.89999998</v>
      </c>
      <c r="F17" s="247"/>
    </row>
    <row r="18" spans="1:6" x14ac:dyDescent="0.3">
      <c r="A18" s="122" t="s">
        <v>198</v>
      </c>
      <c r="B18" s="123">
        <f>BAL!B70</f>
        <v>1077074327.04</v>
      </c>
      <c r="C18" s="124">
        <f>BAL!F70</f>
        <v>1098767243.3</v>
      </c>
      <c r="D18" s="125">
        <f>(B18-C18)/C18</f>
        <v>-1.9742958658694836E-2</v>
      </c>
      <c r="E18" s="228">
        <f>BAL!G70</f>
        <v>1072209742.74</v>
      </c>
      <c r="F18" s="229"/>
    </row>
    <row r="19" spans="1:6" x14ac:dyDescent="0.3">
      <c r="A19" s="122" t="s">
        <v>199</v>
      </c>
      <c r="B19" s="123">
        <f>BAL!B58</f>
        <v>27112326.5</v>
      </c>
      <c r="C19" s="124">
        <f>BAL!F58</f>
        <v>25882400.420000002</v>
      </c>
      <c r="D19" s="125">
        <f>(B19-C19)/C19</f>
        <v>4.7519784102003249E-2</v>
      </c>
      <c r="E19" s="248">
        <f>BAL!G58</f>
        <v>35459403.32</v>
      </c>
      <c r="F19" s="243"/>
    </row>
    <row r="20" spans="1:6" ht="15.75" thickBot="1" x14ac:dyDescent="0.35">
      <c r="A20" s="126" t="s">
        <v>200</v>
      </c>
      <c r="B20" s="127">
        <f>RATIOS!B6</f>
        <v>327838197.88</v>
      </c>
      <c r="C20" s="128">
        <f>BAL!F33-BAL!M51</f>
        <v>319961040.39999998</v>
      </c>
      <c r="D20" s="129">
        <f>(B20-C20)/ABS(C20)</f>
        <v>2.4619114471413062E-2</v>
      </c>
      <c r="E20" s="249">
        <f>BAL!G33-BAL!N51</f>
        <v>480353628.59999996</v>
      </c>
      <c r="F20" s="250"/>
    </row>
    <row r="21" spans="1:6" ht="15.75" thickTop="1" x14ac:dyDescent="0.3">
      <c r="A21" s="135"/>
      <c r="B21" s="135"/>
      <c r="C21" s="135"/>
      <c r="D21" s="135"/>
      <c r="E21" s="135"/>
      <c r="F21" s="135"/>
    </row>
    <row r="22" spans="1:6" ht="15.75" thickBot="1" x14ac:dyDescent="0.35">
      <c r="A22" s="221" t="s">
        <v>201</v>
      </c>
      <c r="B22" s="222"/>
      <c r="C22" s="222"/>
      <c r="D22" s="222"/>
      <c r="E22" s="222"/>
      <c r="F22" s="222"/>
    </row>
    <row r="23" spans="1:6" ht="15.75" thickTop="1" x14ac:dyDescent="0.3">
      <c r="A23" s="136"/>
      <c r="B23" s="137"/>
      <c r="C23" s="138"/>
      <c r="D23" s="226" t="s">
        <v>186</v>
      </c>
      <c r="E23" s="230"/>
      <c r="F23" s="231"/>
    </row>
    <row r="24" spans="1:6" ht="15.75" thickBot="1" x14ac:dyDescent="0.35">
      <c r="A24" s="139"/>
      <c r="B24" s="140"/>
      <c r="C24" s="141"/>
      <c r="D24" s="113">
        <f>B6</f>
        <v>40999</v>
      </c>
      <c r="E24" s="238" t="s">
        <v>238</v>
      </c>
      <c r="F24" s="239"/>
    </row>
    <row r="25" spans="1:6" ht="15.75" thickTop="1" x14ac:dyDescent="0.3">
      <c r="A25" s="142" t="s">
        <v>202</v>
      </c>
      <c r="B25" s="124"/>
      <c r="C25" s="143"/>
      <c r="D25" s="166" t="e">
        <f>#REF!</f>
        <v>#REF!</v>
      </c>
      <c r="E25" s="240" t="e">
        <f>#REF!</f>
        <v>#REF!</v>
      </c>
      <c r="F25" s="241"/>
    </row>
    <row r="26" spans="1:6" x14ac:dyDescent="0.3">
      <c r="A26" s="144" t="s">
        <v>203</v>
      </c>
      <c r="B26" s="124"/>
      <c r="C26" s="143"/>
      <c r="D26" s="166" t="e">
        <f>#REF!</f>
        <v>#REF!</v>
      </c>
      <c r="E26" s="242" t="e">
        <f>#REF!</f>
        <v>#REF!</v>
      </c>
      <c r="F26" s="243"/>
    </row>
    <row r="27" spans="1:6" x14ac:dyDescent="0.3">
      <c r="A27" s="144" t="s">
        <v>204</v>
      </c>
      <c r="B27" s="124"/>
      <c r="C27" s="143"/>
      <c r="D27" s="166" t="e">
        <f>#REF!</f>
        <v>#REF!</v>
      </c>
      <c r="E27" s="244" t="e">
        <f>#REF!</f>
        <v>#REF!</v>
      </c>
      <c r="F27" s="245"/>
    </row>
    <row r="28" spans="1:6" ht="15.75" thickBot="1" x14ac:dyDescent="0.35">
      <c r="A28" s="145" t="s">
        <v>205</v>
      </c>
      <c r="B28" s="146"/>
      <c r="C28" s="147"/>
      <c r="D28" s="167" t="e">
        <f>#REF!</f>
        <v>#REF!</v>
      </c>
      <c r="E28" s="236" t="e">
        <f>#REF!</f>
        <v>#REF!</v>
      </c>
      <c r="F28" s="237"/>
    </row>
    <row r="29" spans="1:6" ht="15.75" thickTop="1" x14ac:dyDescent="0.3"/>
  </sheetData>
  <mergeCells count="18">
    <mergeCell ref="D23:F23"/>
    <mergeCell ref="A14:F14"/>
    <mergeCell ref="B15:D15"/>
    <mergeCell ref="E16:F16"/>
    <mergeCell ref="E28:F28"/>
    <mergeCell ref="E24:F24"/>
    <mergeCell ref="E25:F25"/>
    <mergeCell ref="E26:F26"/>
    <mergeCell ref="E27:F27"/>
    <mergeCell ref="A22:F22"/>
    <mergeCell ref="E17:F17"/>
    <mergeCell ref="E19:F19"/>
    <mergeCell ref="E20:F20"/>
    <mergeCell ref="A1:F1"/>
    <mergeCell ref="A4:F4"/>
    <mergeCell ref="B5:D5"/>
    <mergeCell ref="E5:F5"/>
    <mergeCell ref="E18:F18"/>
  </mergeCells>
  <phoneticPr fontId="18" type="noConversion"/>
  <conditionalFormatting sqref="F7:F13 D7:D13 D17:F20 D25:F28 E7:E12">
    <cfRule type="cellIs" dxfId="12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sqref="A1:F1"/>
    </sheetView>
  </sheetViews>
  <sheetFormatPr baseColWidth="10" defaultColWidth="12.5703125" defaultRowHeight="15" x14ac:dyDescent="0.3"/>
  <cols>
    <col min="1" max="1" width="38.28515625" style="107" customWidth="1"/>
    <col min="2" max="3" width="15.7109375" style="107" customWidth="1"/>
    <col min="4" max="4" width="21.42578125" style="107" customWidth="1"/>
    <col min="5" max="5" width="23" style="107" customWidth="1"/>
    <col min="6" max="6" width="13" style="107" customWidth="1"/>
    <col min="7" max="16384" width="12.5703125" style="107"/>
  </cols>
  <sheetData>
    <row r="1" spans="1:6" x14ac:dyDescent="0.3">
      <c r="A1" s="220"/>
      <c r="B1" s="220"/>
      <c r="C1" s="220"/>
      <c r="D1" s="220"/>
      <c r="E1" s="220"/>
      <c r="F1" s="220"/>
    </row>
    <row r="2" spans="1:6" x14ac:dyDescent="0.3">
      <c r="A2" s="108" t="str">
        <f>PyG!B7</f>
        <v>SOCIEDAD: EMPRESA MUNICIPAL DE LA VIVIENDA Y SUELO DE MADRID, S.A.</v>
      </c>
      <c r="B2" s="109"/>
      <c r="C2" s="109"/>
      <c r="D2" s="109"/>
      <c r="F2" s="110" t="s">
        <v>206</v>
      </c>
    </row>
    <row r="3" spans="1:6" x14ac:dyDescent="0.3">
      <c r="A3" s="106"/>
      <c r="B3" s="106"/>
      <c r="C3" s="106"/>
      <c r="D3" s="106"/>
      <c r="E3" s="106"/>
      <c r="F3" s="106"/>
    </row>
    <row r="4" spans="1:6" ht="15.75" thickBot="1" x14ac:dyDescent="0.35">
      <c r="A4" s="221" t="s">
        <v>184</v>
      </c>
      <c r="B4" s="222"/>
      <c r="C4" s="222"/>
      <c r="D4" s="222"/>
      <c r="E4" s="222"/>
      <c r="F4" s="222"/>
    </row>
    <row r="5" spans="1:6" ht="15.75" thickTop="1" x14ac:dyDescent="0.3">
      <c r="A5" s="111"/>
      <c r="B5" s="223" t="s">
        <v>185</v>
      </c>
      <c r="C5" s="224"/>
      <c r="D5" s="225"/>
      <c r="E5" s="226" t="s">
        <v>186</v>
      </c>
      <c r="F5" s="227"/>
    </row>
    <row r="6" spans="1:6" ht="15.75" thickBot="1" x14ac:dyDescent="0.35">
      <c r="A6" s="112"/>
      <c r="B6" s="113">
        <v>41090</v>
      </c>
      <c r="C6" s="114">
        <v>40724</v>
      </c>
      <c r="D6" s="115" t="s">
        <v>187</v>
      </c>
      <c r="E6" s="116" t="s">
        <v>238</v>
      </c>
      <c r="F6" s="117" t="s">
        <v>188</v>
      </c>
    </row>
    <row r="7" spans="1:6" ht="15.75" thickTop="1" x14ac:dyDescent="0.3">
      <c r="A7" s="118" t="s">
        <v>189</v>
      </c>
      <c r="B7" s="119">
        <f>PyG!D84</f>
        <v>-7689258.0599999968</v>
      </c>
      <c r="C7" s="120">
        <f>PyG!H84</f>
        <v>724986.28999999166</v>
      </c>
      <c r="D7" s="121">
        <f>(B7-C7)/ABS(C7)</f>
        <v>-11.606073750718908</v>
      </c>
      <c r="E7" s="119">
        <f>PyG!K84</f>
        <v>2.000001072883606E-2</v>
      </c>
      <c r="F7" s="121">
        <f t="shared" ref="F7:F12" si="0">B7/E7</f>
        <v>-384462696.75813758</v>
      </c>
    </row>
    <row r="8" spans="1:6" x14ac:dyDescent="0.3">
      <c r="A8" s="122" t="s">
        <v>190</v>
      </c>
      <c r="B8" s="123">
        <f>PyG!N95</f>
        <v>73397822.370000005</v>
      </c>
      <c r="C8" s="124">
        <f>PyG!R95</f>
        <v>84615051.560000002</v>
      </c>
      <c r="D8" s="125">
        <f>(B8-C8)/C8</f>
        <v>-0.13256777586486407</v>
      </c>
      <c r="E8" s="124">
        <f>'1T'!E8</f>
        <v>244803136.72000003</v>
      </c>
      <c r="F8" s="125">
        <f t="shared" si="0"/>
        <v>0.29982386399709687</v>
      </c>
    </row>
    <row r="9" spans="1:6" x14ac:dyDescent="0.3">
      <c r="A9" s="122" t="s">
        <v>191</v>
      </c>
      <c r="B9" s="123">
        <f>PyG!D96</f>
        <v>81087080.429999992</v>
      </c>
      <c r="C9" s="124">
        <f>PyG!H96</f>
        <v>83890065.270000011</v>
      </c>
      <c r="D9" s="125">
        <f>(B9-C9)/C9</f>
        <v>-3.3412595770173942E-2</v>
      </c>
      <c r="E9" s="124">
        <f>'1T'!E9</f>
        <v>244803136.69999999</v>
      </c>
      <c r="F9" s="125">
        <f t="shared" si="0"/>
        <v>0.33123382944790508</v>
      </c>
    </row>
    <row r="10" spans="1:6" x14ac:dyDescent="0.3">
      <c r="A10" s="122" t="s">
        <v>192</v>
      </c>
      <c r="B10" s="123">
        <f>PyG!D13</f>
        <v>52083071.32</v>
      </c>
      <c r="C10" s="124">
        <f>PyG!H13</f>
        <v>53597645.299999997</v>
      </c>
      <c r="D10" s="125">
        <f>(B10-C10)/C10</f>
        <v>-2.8258218649765885E-2</v>
      </c>
      <c r="E10" s="124">
        <f>PyG!K13</f>
        <v>140328260</v>
      </c>
      <c r="F10" s="125">
        <f t="shared" si="0"/>
        <v>0.3711516933224997</v>
      </c>
    </row>
    <row r="11" spans="1:6" x14ac:dyDescent="0.3">
      <c r="A11" s="122" t="s">
        <v>193</v>
      </c>
      <c r="B11" s="123">
        <f>PyG!D33+PyG!D34</f>
        <v>16904349.16</v>
      </c>
      <c r="C11" s="124">
        <f>PyG!H33+PyG!H34</f>
        <v>14461193.57</v>
      </c>
      <c r="D11" s="125">
        <f>(B11-C11)/C11</f>
        <v>0.16894563911158544</v>
      </c>
      <c r="E11" s="124">
        <f>PyG!K33+PyG!K34</f>
        <v>43040207.800000004</v>
      </c>
      <c r="F11" s="125">
        <f t="shared" si="0"/>
        <v>0.39275714556378138</v>
      </c>
    </row>
    <row r="12" spans="1:6" ht="15.75" thickBot="1" x14ac:dyDescent="0.35">
      <c r="A12" s="126" t="s">
        <v>194</v>
      </c>
      <c r="B12" s="127">
        <f>RATIOS!F7</f>
        <v>-3122548.1499999966</v>
      </c>
      <c r="C12" s="128">
        <f>PyG!H84-PyG!H44</f>
        <v>4877152.6799999923</v>
      </c>
      <c r="D12" s="129">
        <f>(B12-C12)/ABS(C12)</f>
        <v>-1.6402399832190617</v>
      </c>
      <c r="E12" s="128">
        <f>'1T'!E12</f>
        <v>7900000.0200000107</v>
      </c>
      <c r="F12" s="129">
        <f t="shared" si="0"/>
        <v>-0.39525925849301358</v>
      </c>
    </row>
    <row r="13" spans="1:6" ht="15.75" thickTop="1" x14ac:dyDescent="0.3">
      <c r="A13" s="130"/>
      <c r="B13" s="131"/>
      <c r="C13" s="131"/>
      <c r="D13" s="132"/>
      <c r="E13" s="131"/>
      <c r="F13" s="132"/>
    </row>
    <row r="14" spans="1:6" ht="15.75" thickBot="1" x14ac:dyDescent="0.35">
      <c r="A14" s="232" t="s">
        <v>195</v>
      </c>
      <c r="B14" s="233"/>
      <c r="C14" s="233"/>
      <c r="D14" s="233"/>
      <c r="E14" s="233"/>
      <c r="F14" s="233"/>
    </row>
    <row r="15" spans="1:6" ht="15.75" thickTop="1" x14ac:dyDescent="0.3">
      <c r="A15" s="111"/>
      <c r="B15" s="223" t="s">
        <v>196</v>
      </c>
      <c r="C15" s="230"/>
      <c r="D15" s="231"/>
      <c r="E15" s="133"/>
      <c r="F15" s="134"/>
    </row>
    <row r="16" spans="1:6" ht="15.75" thickBot="1" x14ac:dyDescent="0.35">
      <c r="A16" s="112"/>
      <c r="B16" s="113">
        <f>B6</f>
        <v>41090</v>
      </c>
      <c r="C16" s="114">
        <v>40908</v>
      </c>
      <c r="D16" s="115" t="s">
        <v>187</v>
      </c>
      <c r="E16" s="234" t="s">
        <v>239</v>
      </c>
      <c r="F16" s="235"/>
    </row>
    <row r="17" spans="1:6" ht="15.75" thickTop="1" x14ac:dyDescent="0.3">
      <c r="A17" s="118" t="s">
        <v>197</v>
      </c>
      <c r="B17" s="119">
        <f>BAL!J43+BAL!J55</f>
        <v>684605862.45000005</v>
      </c>
      <c r="C17" s="120">
        <f>BAL!M43+BAL!M55</f>
        <v>708867787.49000001</v>
      </c>
      <c r="D17" s="121">
        <f>(B17-C17)/C17</f>
        <v>-3.4226304916334237E-2</v>
      </c>
      <c r="E17" s="246">
        <f>BAL!N43+BAL!N55</f>
        <v>773003419.89999998</v>
      </c>
      <c r="F17" s="247"/>
    </row>
    <row r="18" spans="1:6" x14ac:dyDescent="0.3">
      <c r="A18" s="122" t="s">
        <v>198</v>
      </c>
      <c r="B18" s="123">
        <f>BAL!C70</f>
        <v>1092244681.9699998</v>
      </c>
      <c r="C18" s="124">
        <f>'1T'!C18</f>
        <v>1098767243.3</v>
      </c>
      <c r="D18" s="125">
        <f>(B18-C18)/C18</f>
        <v>-5.9362538970587847E-3</v>
      </c>
      <c r="E18" s="228">
        <f>'1T'!E18</f>
        <v>1072209742.74</v>
      </c>
      <c r="F18" s="229"/>
    </row>
    <row r="19" spans="1:6" x14ac:dyDescent="0.3">
      <c r="A19" s="122" t="s">
        <v>199</v>
      </c>
      <c r="B19" s="123">
        <f>BAL!C58</f>
        <v>25260747.539999999</v>
      </c>
      <c r="C19" s="124">
        <f>'1T'!C19</f>
        <v>25882400.420000002</v>
      </c>
      <c r="D19" s="125">
        <f>(B19-C19)/C19</f>
        <v>-2.4018362667770004E-2</v>
      </c>
      <c r="E19" s="248">
        <f>'1T'!E19</f>
        <v>35459403.32</v>
      </c>
      <c r="F19" s="243"/>
    </row>
    <row r="20" spans="1:6" ht="15.75" thickBot="1" x14ac:dyDescent="0.35">
      <c r="A20" s="126" t="s">
        <v>200</v>
      </c>
      <c r="B20" s="127">
        <f>RATIOS!B7</f>
        <v>358305355.61999989</v>
      </c>
      <c r="C20" s="128">
        <f>'1T'!C20</f>
        <v>319961040.39999998</v>
      </c>
      <c r="D20" s="129">
        <f>(B20-C20)/ABS(C20)</f>
        <v>0.11984057550276647</v>
      </c>
      <c r="E20" s="249">
        <f>'1T'!E20</f>
        <v>480353628.59999996</v>
      </c>
      <c r="F20" s="250"/>
    </row>
    <row r="21" spans="1:6" ht="15.75" thickTop="1" x14ac:dyDescent="0.3">
      <c r="A21" s="135"/>
      <c r="B21" s="135"/>
      <c r="C21" s="135"/>
      <c r="D21" s="135"/>
      <c r="E21" s="135"/>
      <c r="F21" s="135"/>
    </row>
    <row r="22" spans="1:6" ht="15.75" thickBot="1" x14ac:dyDescent="0.35">
      <c r="A22" s="221" t="s">
        <v>201</v>
      </c>
      <c r="B22" s="222"/>
      <c r="C22" s="222"/>
      <c r="D22" s="222"/>
      <c r="E22" s="222"/>
      <c r="F22" s="222"/>
    </row>
    <row r="23" spans="1:6" ht="15.75" thickTop="1" x14ac:dyDescent="0.3">
      <c r="A23" s="136"/>
      <c r="B23" s="137"/>
      <c r="C23" s="138"/>
      <c r="D23" s="226" t="s">
        <v>186</v>
      </c>
      <c r="E23" s="230"/>
      <c r="F23" s="231"/>
    </row>
    <row r="24" spans="1:6" ht="15.75" thickBot="1" x14ac:dyDescent="0.35">
      <c r="A24" s="139"/>
      <c r="B24" s="140"/>
      <c r="C24" s="141"/>
      <c r="D24" s="113">
        <f>B6</f>
        <v>41090</v>
      </c>
      <c r="E24" s="238" t="s">
        <v>238</v>
      </c>
      <c r="F24" s="239"/>
    </row>
    <row r="25" spans="1:6" ht="15.75" thickTop="1" x14ac:dyDescent="0.3">
      <c r="A25" s="142" t="s">
        <v>202</v>
      </c>
      <c r="B25" s="124"/>
      <c r="C25" s="143"/>
      <c r="D25" s="166" t="e">
        <f>#REF!</f>
        <v>#REF!</v>
      </c>
      <c r="E25" s="240" t="e">
        <f>'1T'!E25</f>
        <v>#REF!</v>
      </c>
      <c r="F25" s="241"/>
    </row>
    <row r="26" spans="1:6" x14ac:dyDescent="0.3">
      <c r="A26" s="144" t="s">
        <v>203</v>
      </c>
      <c r="B26" s="124"/>
      <c r="C26" s="143"/>
      <c r="D26" s="166" t="e">
        <f>#REF!</f>
        <v>#REF!</v>
      </c>
      <c r="E26" s="242" t="e">
        <f>'1T'!E26</f>
        <v>#REF!</v>
      </c>
      <c r="F26" s="243"/>
    </row>
    <row r="27" spans="1:6" x14ac:dyDescent="0.3">
      <c r="A27" s="144" t="s">
        <v>204</v>
      </c>
      <c r="B27" s="124"/>
      <c r="C27" s="143"/>
      <c r="D27" s="166" t="e">
        <f>#REF!</f>
        <v>#REF!</v>
      </c>
      <c r="E27" s="244" t="e">
        <f>'1T'!E27</f>
        <v>#REF!</v>
      </c>
      <c r="F27" s="245"/>
    </row>
    <row r="28" spans="1:6" ht="15.75" thickBot="1" x14ac:dyDescent="0.35">
      <c r="A28" s="145" t="s">
        <v>205</v>
      </c>
      <c r="B28" s="146"/>
      <c r="C28" s="147"/>
      <c r="D28" s="168" t="e">
        <f>#REF!</f>
        <v>#REF!</v>
      </c>
      <c r="E28" s="236" t="e">
        <f>'1T'!E28</f>
        <v>#REF!</v>
      </c>
      <c r="F28" s="237"/>
    </row>
    <row r="29" spans="1:6" ht="15.75" thickTop="1" x14ac:dyDescent="0.3"/>
  </sheetData>
  <mergeCells count="18">
    <mergeCell ref="E17:F17"/>
    <mergeCell ref="E24:F24"/>
    <mergeCell ref="A1:F1"/>
    <mergeCell ref="A4:F4"/>
    <mergeCell ref="B5:D5"/>
    <mergeCell ref="E5:F5"/>
    <mergeCell ref="D23:F23"/>
    <mergeCell ref="A14:F14"/>
    <mergeCell ref="B15:D15"/>
    <mergeCell ref="E16:F16"/>
    <mergeCell ref="E27:F27"/>
    <mergeCell ref="E28:F28"/>
    <mergeCell ref="E18:F18"/>
    <mergeCell ref="E19:F19"/>
    <mergeCell ref="E20:F20"/>
    <mergeCell ref="A22:F22"/>
    <mergeCell ref="E25:F25"/>
    <mergeCell ref="E26:F26"/>
  </mergeCells>
  <phoneticPr fontId="18" type="noConversion"/>
  <conditionalFormatting sqref="F7:F13 D7:D13 D25:D27 D17:F20 E25:F28 E7:E12">
    <cfRule type="cellIs" dxfId="11" priority="1" stopIfTrue="1" operator="lessThan">
      <formula>0</formula>
    </cfRule>
  </conditionalFormatting>
  <conditionalFormatting sqref="D28">
    <cfRule type="cellIs" dxfId="10" priority="2" stopIfTrue="1" operator="notEqual">
      <formula>$D$25+$D$26+$D$27</formula>
    </cfRule>
  </conditionalFormatting>
  <printOptions horizontalCentered="1"/>
  <pageMargins left="0.78740157480314965" right="0.78740157480314965" top="0.59055118110236227" bottom="0.98425196850393704" header="0" footer="0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sqref="A1:F1"/>
    </sheetView>
  </sheetViews>
  <sheetFormatPr baseColWidth="10" defaultColWidth="12.5703125" defaultRowHeight="15" x14ac:dyDescent="0.3"/>
  <cols>
    <col min="1" max="1" width="38.28515625" style="107" customWidth="1"/>
    <col min="2" max="3" width="15.7109375" style="107" customWidth="1"/>
    <col min="4" max="4" width="21.42578125" style="107" customWidth="1"/>
    <col min="5" max="5" width="23" style="107" customWidth="1"/>
    <col min="6" max="6" width="13" style="107" customWidth="1"/>
    <col min="7" max="16384" width="12.5703125" style="107"/>
  </cols>
  <sheetData>
    <row r="1" spans="1:6" x14ac:dyDescent="0.3">
      <c r="A1" s="220"/>
      <c r="B1" s="220"/>
      <c r="C1" s="220"/>
      <c r="D1" s="220"/>
      <c r="E1" s="220"/>
      <c r="F1" s="220"/>
    </row>
    <row r="2" spans="1:6" x14ac:dyDescent="0.3">
      <c r="A2" s="108" t="str">
        <f>PyG!B7</f>
        <v>SOCIEDAD: EMPRESA MUNICIPAL DE LA VIVIENDA Y SUELO DE MADRID, S.A.</v>
      </c>
      <c r="B2" s="109"/>
      <c r="C2" s="109"/>
      <c r="D2" s="109"/>
      <c r="F2" s="110" t="s">
        <v>207</v>
      </c>
    </row>
    <row r="3" spans="1:6" x14ac:dyDescent="0.3">
      <c r="A3" s="106"/>
      <c r="B3" s="106"/>
      <c r="C3" s="106"/>
      <c r="D3" s="106"/>
      <c r="E3" s="106"/>
      <c r="F3" s="106"/>
    </row>
    <row r="4" spans="1:6" ht="15.75" thickBot="1" x14ac:dyDescent="0.35">
      <c r="A4" s="221" t="s">
        <v>184</v>
      </c>
      <c r="B4" s="222"/>
      <c r="C4" s="222"/>
      <c r="D4" s="222"/>
      <c r="E4" s="222"/>
      <c r="F4" s="222"/>
    </row>
    <row r="5" spans="1:6" ht="15.75" thickTop="1" x14ac:dyDescent="0.3">
      <c r="A5" s="111"/>
      <c r="B5" s="223" t="s">
        <v>185</v>
      </c>
      <c r="C5" s="224"/>
      <c r="D5" s="225"/>
      <c r="E5" s="226" t="s">
        <v>186</v>
      </c>
      <c r="F5" s="227"/>
    </row>
    <row r="6" spans="1:6" ht="15.75" thickBot="1" x14ac:dyDescent="0.35">
      <c r="A6" s="112"/>
      <c r="B6" s="113">
        <v>41182</v>
      </c>
      <c r="C6" s="114">
        <v>40816</v>
      </c>
      <c r="D6" s="115" t="s">
        <v>187</v>
      </c>
      <c r="E6" s="116" t="s">
        <v>238</v>
      </c>
      <c r="F6" s="117" t="s">
        <v>188</v>
      </c>
    </row>
    <row r="7" spans="1:6" ht="15.75" thickTop="1" x14ac:dyDescent="0.3">
      <c r="A7" s="118" t="s">
        <v>189</v>
      </c>
      <c r="B7" s="119">
        <f>PyG!E84</f>
        <v>-16098932.47000001</v>
      </c>
      <c r="C7" s="120">
        <f>PyG!I84</f>
        <v>-11234123.220000004</v>
      </c>
      <c r="D7" s="121">
        <f>(B7-C7)/ABS(C7)</f>
        <v>-0.43303862301770302</v>
      </c>
      <c r="E7" s="119">
        <f>PyG!K84</f>
        <v>2.000001072883606E-2</v>
      </c>
      <c r="F7" s="121">
        <f t="shared" ref="F7:F12" si="0">B7/E7</f>
        <v>-804946191.69321418</v>
      </c>
    </row>
    <row r="8" spans="1:6" x14ac:dyDescent="0.3">
      <c r="A8" s="122" t="s">
        <v>190</v>
      </c>
      <c r="B8" s="123">
        <f>PyG!O95</f>
        <v>120842364.50999999</v>
      </c>
      <c r="C8" s="124">
        <f>PyG!S95</f>
        <v>91571407.559999987</v>
      </c>
      <c r="D8" s="125">
        <f>(B8-C8)/C8</f>
        <v>0.31965170930479481</v>
      </c>
      <c r="E8" s="124">
        <f>'1T'!E8</f>
        <v>244803136.72000003</v>
      </c>
      <c r="F8" s="125">
        <f t="shared" si="0"/>
        <v>0.49363078483841732</v>
      </c>
    </row>
    <row r="9" spans="1:6" x14ac:dyDescent="0.3">
      <c r="A9" s="122" t="s">
        <v>191</v>
      </c>
      <c r="B9" s="123">
        <f>PyG!E96</f>
        <v>136941296.97999999</v>
      </c>
      <c r="C9" s="124">
        <f>PyG!I96</f>
        <v>102805530.77999999</v>
      </c>
      <c r="D9" s="125">
        <f>(B9-C9)/C9</f>
        <v>0.33204211817211737</v>
      </c>
      <c r="E9" s="124">
        <f>'1T'!E9</f>
        <v>244803136.69999999</v>
      </c>
      <c r="F9" s="125">
        <f t="shared" si="0"/>
        <v>0.55939355527056855</v>
      </c>
    </row>
    <row r="10" spans="1:6" x14ac:dyDescent="0.3">
      <c r="A10" s="122" t="s">
        <v>192</v>
      </c>
      <c r="B10" s="123">
        <f>PyG!E13</f>
        <v>91108738.049999997</v>
      </c>
      <c r="C10" s="124">
        <f>PyG!I13</f>
        <v>47485840.880000003</v>
      </c>
      <c r="D10" s="125">
        <f>(B10-C10)/C10</f>
        <v>0.91865062009195686</v>
      </c>
      <c r="E10" s="124">
        <f>PyG!K13</f>
        <v>140328260</v>
      </c>
      <c r="F10" s="125">
        <f t="shared" si="0"/>
        <v>0.64925438432714833</v>
      </c>
    </row>
    <row r="11" spans="1:6" x14ac:dyDescent="0.3">
      <c r="A11" s="122" t="s">
        <v>193</v>
      </c>
      <c r="B11" s="164">
        <f>PyG!E33+PyG!E34</f>
        <v>23879490.239999998</v>
      </c>
      <c r="C11" s="165">
        <f>PyG!I33+PyG!I34</f>
        <v>22264425.75</v>
      </c>
      <c r="D11" s="125">
        <f>(B11-C11)/C11</f>
        <v>7.2540136814442574E-2</v>
      </c>
      <c r="E11" s="124">
        <f>PyG!K33+PyG!K34</f>
        <v>43040207.800000004</v>
      </c>
      <c r="F11" s="125">
        <f t="shared" si="0"/>
        <v>0.55481819118912334</v>
      </c>
    </row>
    <row r="12" spans="1:6" ht="15.75" thickBot="1" x14ac:dyDescent="0.35">
      <c r="A12" s="126" t="s">
        <v>194</v>
      </c>
      <c r="B12" s="127">
        <f>RATIOS!F8</f>
        <v>-9302169.7500000093</v>
      </c>
      <c r="C12" s="128">
        <f>PyG!I84-PyG!I44</f>
        <v>-5094194.150000005</v>
      </c>
      <c r="D12" s="129">
        <f>(B12-C12)/ABS(C12)</f>
        <v>-0.82603361318688651</v>
      </c>
      <c r="E12" s="128">
        <f>'1T'!E12</f>
        <v>7900000.0200000107</v>
      </c>
      <c r="F12" s="129">
        <f t="shared" si="0"/>
        <v>-1.1774898387911645</v>
      </c>
    </row>
    <row r="13" spans="1:6" ht="15.75" thickTop="1" x14ac:dyDescent="0.3">
      <c r="A13" s="130"/>
      <c r="B13" s="131"/>
      <c r="C13" s="131"/>
      <c r="D13" s="132"/>
      <c r="E13" s="131"/>
      <c r="F13" s="132"/>
    </row>
    <row r="14" spans="1:6" ht="15.75" thickBot="1" x14ac:dyDescent="0.35">
      <c r="A14" s="232" t="s">
        <v>195</v>
      </c>
      <c r="B14" s="233"/>
      <c r="C14" s="233"/>
      <c r="D14" s="233"/>
      <c r="E14" s="233"/>
      <c r="F14" s="233"/>
    </row>
    <row r="15" spans="1:6" ht="15.75" thickTop="1" x14ac:dyDescent="0.3">
      <c r="A15" s="111"/>
      <c r="B15" s="223" t="s">
        <v>196</v>
      </c>
      <c r="C15" s="230"/>
      <c r="D15" s="231"/>
      <c r="E15" s="133"/>
      <c r="F15" s="134"/>
    </row>
    <row r="16" spans="1:6" ht="15.75" thickBot="1" x14ac:dyDescent="0.35">
      <c r="A16" s="112"/>
      <c r="B16" s="113">
        <f>B6</f>
        <v>41182</v>
      </c>
      <c r="C16" s="114">
        <v>40908</v>
      </c>
      <c r="D16" s="115" t="s">
        <v>187</v>
      </c>
      <c r="E16" s="234" t="s">
        <v>239</v>
      </c>
      <c r="F16" s="235"/>
    </row>
    <row r="17" spans="1:6" ht="15.75" thickTop="1" x14ac:dyDescent="0.3">
      <c r="A17" s="118" t="s">
        <v>197</v>
      </c>
      <c r="B17" s="119">
        <f>BAL!K43+BAL!K55</f>
        <v>649951658.22000003</v>
      </c>
      <c r="C17" s="120">
        <f>BAL!M43+BAL!M55</f>
        <v>708867787.49000001</v>
      </c>
      <c r="D17" s="121">
        <f>(B17-C17)/C17</f>
        <v>-8.3113001196758587E-2</v>
      </c>
      <c r="E17" s="246">
        <f>BAL!N43+BAL!N55</f>
        <v>773003419.89999998</v>
      </c>
      <c r="F17" s="247"/>
    </row>
    <row r="18" spans="1:6" x14ac:dyDescent="0.3">
      <c r="A18" s="122" t="s">
        <v>198</v>
      </c>
      <c r="B18" s="123">
        <f>BAL!D70</f>
        <v>1038546107.9399999</v>
      </c>
      <c r="C18" s="124">
        <f>'1T'!C18</f>
        <v>1098767243.3</v>
      </c>
      <c r="D18" s="125">
        <f>(B18-C18)/C18</f>
        <v>-5.480790925213052E-2</v>
      </c>
      <c r="E18" s="228">
        <f>'1T'!E18</f>
        <v>1072209742.74</v>
      </c>
      <c r="F18" s="229"/>
    </row>
    <row r="19" spans="1:6" x14ac:dyDescent="0.3">
      <c r="A19" s="122" t="s">
        <v>199</v>
      </c>
      <c r="B19" s="123">
        <f>BAL!D58</f>
        <v>16808663.23</v>
      </c>
      <c r="C19" s="124">
        <f>'1T'!C19</f>
        <v>25882400.420000002</v>
      </c>
      <c r="D19" s="125">
        <f>(B19-C19)/C19</f>
        <v>-0.35057556651463012</v>
      </c>
      <c r="E19" s="248">
        <f>'1T'!E19</f>
        <v>35459403.32</v>
      </c>
      <c r="F19" s="243"/>
    </row>
    <row r="20" spans="1:6" ht="15.75" thickBot="1" x14ac:dyDescent="0.35">
      <c r="A20" s="126" t="s">
        <v>200</v>
      </c>
      <c r="B20" s="127">
        <f>RATIOS!B8</f>
        <v>299852812.30999994</v>
      </c>
      <c r="C20" s="128">
        <f>'1T'!C20</f>
        <v>319961040.39999998</v>
      </c>
      <c r="D20" s="129">
        <f>(B20-C20)/ABS(C20)</f>
        <v>-6.284586418665751E-2</v>
      </c>
      <c r="E20" s="249">
        <f>'1T'!E20</f>
        <v>480353628.59999996</v>
      </c>
      <c r="F20" s="250"/>
    </row>
    <row r="21" spans="1:6" ht="15.75" thickTop="1" x14ac:dyDescent="0.3">
      <c r="A21" s="135"/>
      <c r="B21" s="135"/>
      <c r="C21" s="135"/>
      <c r="D21" s="135"/>
      <c r="E21" s="135"/>
      <c r="F21" s="135"/>
    </row>
    <row r="22" spans="1:6" ht="15.75" thickBot="1" x14ac:dyDescent="0.35">
      <c r="A22" s="221" t="s">
        <v>201</v>
      </c>
      <c r="B22" s="222"/>
      <c r="C22" s="222"/>
      <c r="D22" s="222"/>
      <c r="E22" s="222"/>
      <c r="F22" s="222"/>
    </row>
    <row r="23" spans="1:6" ht="15.75" thickTop="1" x14ac:dyDescent="0.3">
      <c r="A23" s="136"/>
      <c r="B23" s="137"/>
      <c r="C23" s="138"/>
      <c r="D23" s="226" t="s">
        <v>186</v>
      </c>
      <c r="E23" s="230"/>
      <c r="F23" s="231"/>
    </row>
    <row r="24" spans="1:6" ht="15.75" thickBot="1" x14ac:dyDescent="0.35">
      <c r="A24" s="139"/>
      <c r="B24" s="140"/>
      <c r="C24" s="141"/>
      <c r="D24" s="113">
        <f>B6</f>
        <v>41182</v>
      </c>
      <c r="E24" s="238" t="s">
        <v>238</v>
      </c>
      <c r="F24" s="239"/>
    </row>
    <row r="25" spans="1:6" ht="15.75" thickTop="1" x14ac:dyDescent="0.3">
      <c r="A25" s="142" t="s">
        <v>202</v>
      </c>
      <c r="B25" s="124"/>
      <c r="C25" s="143"/>
      <c r="D25" s="166" t="e">
        <f>#REF!</f>
        <v>#REF!</v>
      </c>
      <c r="E25" s="240" t="e">
        <f>'1T'!E25</f>
        <v>#REF!</v>
      </c>
      <c r="F25" s="241"/>
    </row>
    <row r="26" spans="1:6" x14ac:dyDescent="0.3">
      <c r="A26" s="144" t="s">
        <v>203</v>
      </c>
      <c r="B26" s="124"/>
      <c r="C26" s="143"/>
      <c r="D26" s="166" t="e">
        <f>#REF!</f>
        <v>#REF!</v>
      </c>
      <c r="E26" s="242" t="e">
        <f>'1T'!E26</f>
        <v>#REF!</v>
      </c>
      <c r="F26" s="243"/>
    </row>
    <row r="27" spans="1:6" x14ac:dyDescent="0.3">
      <c r="A27" s="144" t="s">
        <v>204</v>
      </c>
      <c r="B27" s="124"/>
      <c r="C27" s="143"/>
      <c r="D27" s="166" t="e">
        <f>#REF!</f>
        <v>#REF!</v>
      </c>
      <c r="E27" s="244" t="e">
        <f>'1T'!E27</f>
        <v>#REF!</v>
      </c>
      <c r="F27" s="245"/>
    </row>
    <row r="28" spans="1:6" ht="15.75" thickBot="1" x14ac:dyDescent="0.35">
      <c r="A28" s="145" t="s">
        <v>205</v>
      </c>
      <c r="B28" s="146"/>
      <c r="C28" s="147"/>
      <c r="D28" s="168" t="e">
        <f>#REF!</f>
        <v>#REF!</v>
      </c>
      <c r="E28" s="236" t="e">
        <f>'1T'!E28</f>
        <v>#REF!</v>
      </c>
      <c r="F28" s="237"/>
    </row>
    <row r="29" spans="1:6" ht="15.75" thickTop="1" x14ac:dyDescent="0.3"/>
  </sheetData>
  <mergeCells count="18">
    <mergeCell ref="A22:F22"/>
    <mergeCell ref="E20:F20"/>
    <mergeCell ref="E28:F28"/>
    <mergeCell ref="E26:F26"/>
    <mergeCell ref="E27:F27"/>
    <mergeCell ref="E25:F25"/>
    <mergeCell ref="D23:F23"/>
    <mergeCell ref="E24:F24"/>
    <mergeCell ref="B15:D15"/>
    <mergeCell ref="A14:F14"/>
    <mergeCell ref="E17:F17"/>
    <mergeCell ref="E19:F19"/>
    <mergeCell ref="A1:F1"/>
    <mergeCell ref="A4:F4"/>
    <mergeCell ref="B5:D5"/>
    <mergeCell ref="E5:F5"/>
    <mergeCell ref="E18:F18"/>
    <mergeCell ref="E16:F16"/>
  </mergeCells>
  <phoneticPr fontId="18" type="noConversion"/>
  <conditionalFormatting sqref="F7:F13 D7:D13 D25:D27 D17:F20 E25:F28 E7:E12">
    <cfRule type="cellIs" dxfId="9" priority="1" stopIfTrue="1" operator="lessThan">
      <formula>0</formula>
    </cfRule>
  </conditionalFormatting>
  <conditionalFormatting sqref="D28">
    <cfRule type="cellIs" dxfId="8" priority="2" stopIfTrue="1" operator="notEqual">
      <formula>$D$25+$D$26+$D$27</formula>
    </cfRule>
  </conditionalFormatting>
  <printOptions horizontalCentered="1"/>
  <pageMargins left="0.78740157480314965" right="0.78740157480314965" top="0.59055118110236227" bottom="0.98425196850393704" header="0" footer="0"/>
  <pageSetup paperSize="9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sqref="A1:F1"/>
    </sheetView>
  </sheetViews>
  <sheetFormatPr baseColWidth="10" defaultColWidth="12.5703125" defaultRowHeight="15" x14ac:dyDescent="0.3"/>
  <cols>
    <col min="1" max="1" width="38.28515625" style="107" customWidth="1"/>
    <col min="2" max="3" width="15.7109375" style="107" customWidth="1"/>
    <col min="4" max="4" width="21.42578125" style="107" customWidth="1"/>
    <col min="5" max="5" width="23" style="107" customWidth="1"/>
    <col min="6" max="6" width="13" style="107" customWidth="1"/>
    <col min="7" max="16384" width="12.5703125" style="107"/>
  </cols>
  <sheetData>
    <row r="1" spans="1:6" x14ac:dyDescent="0.3">
      <c r="A1" s="220"/>
      <c r="B1" s="220"/>
      <c r="C1" s="220"/>
      <c r="D1" s="220"/>
      <c r="E1" s="220"/>
      <c r="F1" s="220"/>
    </row>
    <row r="2" spans="1:6" x14ac:dyDescent="0.3">
      <c r="A2" s="108" t="str">
        <f>PyG!B7</f>
        <v>SOCIEDAD: EMPRESA MUNICIPAL DE LA VIVIENDA Y SUELO DE MADRID, S.A.</v>
      </c>
      <c r="B2" s="109"/>
      <c r="C2" s="109"/>
      <c r="D2" s="109"/>
      <c r="F2" s="110" t="s">
        <v>208</v>
      </c>
    </row>
    <row r="3" spans="1:6" x14ac:dyDescent="0.3">
      <c r="A3" s="106"/>
      <c r="B3" s="106"/>
      <c r="C3" s="106"/>
      <c r="D3" s="106"/>
      <c r="E3" s="106"/>
      <c r="F3" s="106"/>
    </row>
    <row r="4" spans="1:6" ht="15.75" thickBot="1" x14ac:dyDescent="0.35">
      <c r="A4" s="221" t="s">
        <v>184</v>
      </c>
      <c r="B4" s="222"/>
      <c r="C4" s="222"/>
      <c r="D4" s="222"/>
      <c r="E4" s="222"/>
      <c r="F4" s="222"/>
    </row>
    <row r="5" spans="1:6" ht="15.75" thickTop="1" x14ac:dyDescent="0.3">
      <c r="A5" s="111"/>
      <c r="B5" s="223" t="s">
        <v>185</v>
      </c>
      <c r="C5" s="224"/>
      <c r="D5" s="225"/>
      <c r="E5" s="226" t="s">
        <v>186</v>
      </c>
      <c r="F5" s="227"/>
    </row>
    <row r="6" spans="1:6" ht="15.75" thickBot="1" x14ac:dyDescent="0.35">
      <c r="A6" s="112"/>
      <c r="B6" s="113">
        <v>41274</v>
      </c>
      <c r="C6" s="114">
        <v>40908</v>
      </c>
      <c r="D6" s="115" t="s">
        <v>187</v>
      </c>
      <c r="E6" s="116" t="s">
        <v>238</v>
      </c>
      <c r="F6" s="117" t="s">
        <v>188</v>
      </c>
    </row>
    <row r="7" spans="1:6" ht="15.75" thickTop="1" x14ac:dyDescent="0.3">
      <c r="A7" s="118" t="s">
        <v>189</v>
      </c>
      <c r="B7" s="119">
        <f>PyG!F84</f>
        <v>-33746437.609999999</v>
      </c>
      <c r="C7" s="120">
        <f>PyG!J84</f>
        <v>-26268259.919999979</v>
      </c>
      <c r="D7" s="121">
        <f>(B7-C7)/ABS(C7)</f>
        <v>-0.28468492822801433</v>
      </c>
      <c r="E7" s="119">
        <f>PyG!K84</f>
        <v>2.000001072883606E-2</v>
      </c>
      <c r="F7" s="121">
        <f t="shared" ref="F7:F12" si="0">B7/E7</f>
        <v>-1687320975.3504937</v>
      </c>
    </row>
    <row r="8" spans="1:6" x14ac:dyDescent="0.3">
      <c r="A8" s="122" t="s">
        <v>190</v>
      </c>
      <c r="B8" s="123">
        <f>PyG!P95</f>
        <v>175845282.39000002</v>
      </c>
      <c r="C8" s="124">
        <f>PyG!T95</f>
        <v>168736887.03999999</v>
      </c>
      <c r="D8" s="125">
        <f>(B8-C8)/C8</f>
        <v>4.2127097842660451E-2</v>
      </c>
      <c r="E8" s="124">
        <f>'1T'!E8</f>
        <v>244803136.72000003</v>
      </c>
      <c r="F8" s="125">
        <f t="shared" si="0"/>
        <v>0.7183130279540807</v>
      </c>
    </row>
    <row r="9" spans="1:6" x14ac:dyDescent="0.3">
      <c r="A9" s="122" t="s">
        <v>191</v>
      </c>
      <c r="B9" s="123">
        <f>PyG!F96</f>
        <v>209591719.99999997</v>
      </c>
      <c r="C9" s="124">
        <f>PyG!J96</f>
        <v>195005146.95999998</v>
      </c>
      <c r="D9" s="125">
        <f>(B9-C9)/C9</f>
        <v>7.4800964320147059E-2</v>
      </c>
      <c r="E9" s="124">
        <f>'1T'!E9</f>
        <v>244803136.69999999</v>
      </c>
      <c r="F9" s="125">
        <f t="shared" si="0"/>
        <v>0.85616435649208733</v>
      </c>
    </row>
    <row r="10" spans="1:6" x14ac:dyDescent="0.3">
      <c r="A10" s="122" t="s">
        <v>192</v>
      </c>
      <c r="B10" s="123">
        <f>PyG!F13</f>
        <v>122740300.75</v>
      </c>
      <c r="C10" s="124">
        <f>PyG!J13</f>
        <v>89807542.5</v>
      </c>
      <c r="D10" s="125">
        <f>(B10-C10)/C10</f>
        <v>0.36670370141795161</v>
      </c>
      <c r="E10" s="124">
        <f>PyG!K13</f>
        <v>140328260</v>
      </c>
      <c r="F10" s="125">
        <f t="shared" si="0"/>
        <v>0.87466559301740077</v>
      </c>
    </row>
    <row r="11" spans="1:6" x14ac:dyDescent="0.3">
      <c r="A11" s="122" t="s">
        <v>193</v>
      </c>
      <c r="B11" s="123">
        <f>PyG!F33+PyG!F34</f>
        <v>42333102.840000004</v>
      </c>
      <c r="C11" s="124">
        <f>PyG!J33+PyG!J34</f>
        <v>37724882.75</v>
      </c>
      <c r="D11" s="125">
        <f>(B11-C11)/C11</f>
        <v>0.12215333101333506</v>
      </c>
      <c r="E11" s="124">
        <f>PyG!K33+PyG!K34</f>
        <v>43040207.800000004</v>
      </c>
      <c r="F11" s="125">
        <f t="shared" si="0"/>
        <v>0.98357106073265754</v>
      </c>
    </row>
    <row r="12" spans="1:6" ht="15.75" thickBot="1" x14ac:dyDescent="0.35">
      <c r="A12" s="126" t="s">
        <v>194</v>
      </c>
      <c r="B12" s="127">
        <f>RATIOS!F9</f>
        <v>-24623798.259999998</v>
      </c>
      <c r="C12" s="128">
        <f>PyG!J84-PyG!J44</f>
        <v>-18042036.279999979</v>
      </c>
      <c r="D12" s="129">
        <f>(B12-C12)/ABS(C12)</f>
        <v>-0.36480150454503057</v>
      </c>
      <c r="E12" s="128">
        <f>'1T'!E12</f>
        <v>7900000.0200000107</v>
      </c>
      <c r="F12" s="129">
        <f t="shared" si="0"/>
        <v>-3.1169364807166122</v>
      </c>
    </row>
    <row r="13" spans="1:6" ht="15.75" thickTop="1" x14ac:dyDescent="0.3">
      <c r="A13" s="130"/>
      <c r="B13" s="131"/>
      <c r="C13" s="131"/>
      <c r="D13" s="132"/>
      <c r="E13" s="131"/>
      <c r="F13" s="132"/>
    </row>
    <row r="14" spans="1:6" ht="15.75" thickBot="1" x14ac:dyDescent="0.35">
      <c r="A14" s="232" t="s">
        <v>195</v>
      </c>
      <c r="B14" s="233"/>
      <c r="C14" s="233"/>
      <c r="D14" s="233"/>
      <c r="E14" s="233"/>
      <c r="F14" s="233"/>
    </row>
    <row r="15" spans="1:6" ht="15.75" thickTop="1" x14ac:dyDescent="0.3">
      <c r="A15" s="111"/>
      <c r="B15" s="223" t="s">
        <v>196</v>
      </c>
      <c r="C15" s="230"/>
      <c r="D15" s="231"/>
      <c r="E15" s="133"/>
      <c r="F15" s="134"/>
    </row>
    <row r="16" spans="1:6" ht="15.75" thickBot="1" x14ac:dyDescent="0.35">
      <c r="A16" s="112"/>
      <c r="B16" s="113">
        <f>B6</f>
        <v>41274</v>
      </c>
      <c r="C16" s="114">
        <v>40908</v>
      </c>
      <c r="D16" s="115" t="s">
        <v>187</v>
      </c>
      <c r="E16" s="234" t="s">
        <v>239</v>
      </c>
      <c r="F16" s="235"/>
    </row>
    <row r="17" spans="1:6" ht="15.75" thickTop="1" x14ac:dyDescent="0.3">
      <c r="A17" s="118" t="s">
        <v>197</v>
      </c>
      <c r="B17" s="119">
        <f>BAL!L43+BAL!L55</f>
        <v>630588865.48000002</v>
      </c>
      <c r="C17" s="120">
        <f>BAL!M43+BAL!M55</f>
        <v>708867787.49000001</v>
      </c>
      <c r="D17" s="121">
        <f>(B17-C17)/C17</f>
        <v>-0.1104280987110086</v>
      </c>
      <c r="E17" s="246">
        <f>BAL!N43+BAL!N55</f>
        <v>773003419.89999998</v>
      </c>
      <c r="F17" s="247"/>
    </row>
    <row r="18" spans="1:6" x14ac:dyDescent="0.3">
      <c r="A18" s="122" t="s">
        <v>198</v>
      </c>
      <c r="B18" s="123">
        <f>BAL!E70</f>
        <v>986038862.21000004</v>
      </c>
      <c r="C18" s="124">
        <f>'1T'!C18</f>
        <v>1098767243.3</v>
      </c>
      <c r="D18" s="125">
        <f>(B18-C18)/C18</f>
        <v>-0.10259532378434885</v>
      </c>
      <c r="E18" s="228">
        <f>'1T'!E18</f>
        <v>1072209742.74</v>
      </c>
      <c r="F18" s="229"/>
    </row>
    <row r="19" spans="1:6" x14ac:dyDescent="0.3">
      <c r="A19" s="122" t="s">
        <v>199</v>
      </c>
      <c r="B19" s="123">
        <f>BAL!E58</f>
        <v>13485038.380000001</v>
      </c>
      <c r="C19" s="124">
        <f>'1T'!C19</f>
        <v>25882400.420000002</v>
      </c>
      <c r="D19" s="125">
        <f>(B19-C19)/C19</f>
        <v>-0.47898810924894886</v>
      </c>
      <c r="E19" s="248">
        <f>'1T'!E19</f>
        <v>35459403.32</v>
      </c>
      <c r="F19" s="243"/>
    </row>
    <row r="20" spans="1:6" ht="15.75" thickBot="1" x14ac:dyDescent="0.35">
      <c r="A20" s="126" t="s">
        <v>200</v>
      </c>
      <c r="B20" s="127">
        <f>RATIOS!B9</f>
        <v>271613356.54000002</v>
      </c>
      <c r="C20" s="128">
        <f>'1T'!C20</f>
        <v>319961040.39999998</v>
      </c>
      <c r="D20" s="129">
        <f>(B20-C20)/ABS(C20)</f>
        <v>-0.15110490889627687</v>
      </c>
      <c r="E20" s="249">
        <f>'1T'!E20</f>
        <v>480353628.59999996</v>
      </c>
      <c r="F20" s="250"/>
    </row>
    <row r="21" spans="1:6" ht="15.75" thickTop="1" x14ac:dyDescent="0.3">
      <c r="A21" s="135"/>
      <c r="B21" s="135"/>
      <c r="C21" s="135"/>
      <c r="D21" s="135"/>
      <c r="E21" s="135"/>
      <c r="F21" s="135"/>
    </row>
    <row r="22" spans="1:6" ht="15.75" thickBot="1" x14ac:dyDescent="0.35">
      <c r="A22" s="221" t="s">
        <v>201</v>
      </c>
      <c r="B22" s="222"/>
      <c r="C22" s="222"/>
      <c r="D22" s="222"/>
      <c r="E22" s="222"/>
      <c r="F22" s="222"/>
    </row>
    <row r="23" spans="1:6" ht="15.75" thickTop="1" x14ac:dyDescent="0.3">
      <c r="A23" s="136"/>
      <c r="B23" s="137"/>
      <c r="C23" s="138"/>
      <c r="D23" s="226" t="s">
        <v>186</v>
      </c>
      <c r="E23" s="230"/>
      <c r="F23" s="231"/>
    </row>
    <row r="24" spans="1:6" ht="15.75" thickBot="1" x14ac:dyDescent="0.35">
      <c r="A24" s="139"/>
      <c r="B24" s="140"/>
      <c r="C24" s="141"/>
      <c r="D24" s="113">
        <f>B6</f>
        <v>41274</v>
      </c>
      <c r="E24" s="238" t="s">
        <v>238</v>
      </c>
      <c r="F24" s="239"/>
    </row>
    <row r="25" spans="1:6" ht="15.75" thickTop="1" x14ac:dyDescent="0.3">
      <c r="A25" s="142" t="s">
        <v>202</v>
      </c>
      <c r="B25" s="124"/>
      <c r="C25" s="143"/>
      <c r="D25" s="166" t="e">
        <f>#REF!</f>
        <v>#REF!</v>
      </c>
      <c r="E25" s="240" t="e">
        <f>'1T'!E25</f>
        <v>#REF!</v>
      </c>
      <c r="F25" s="241"/>
    </row>
    <row r="26" spans="1:6" x14ac:dyDescent="0.3">
      <c r="A26" s="144" t="s">
        <v>203</v>
      </c>
      <c r="B26" s="124"/>
      <c r="C26" s="143"/>
      <c r="D26" s="166" t="e">
        <f>#REF!</f>
        <v>#REF!</v>
      </c>
      <c r="E26" s="242" t="e">
        <f>'1T'!E26</f>
        <v>#REF!</v>
      </c>
      <c r="F26" s="243"/>
    </row>
    <row r="27" spans="1:6" x14ac:dyDescent="0.3">
      <c r="A27" s="144" t="s">
        <v>204</v>
      </c>
      <c r="B27" s="124"/>
      <c r="C27" s="143"/>
      <c r="D27" s="166" t="e">
        <f>#REF!</f>
        <v>#REF!</v>
      </c>
      <c r="E27" s="244" t="e">
        <f>'1T'!E27</f>
        <v>#REF!</v>
      </c>
      <c r="F27" s="245"/>
    </row>
    <row r="28" spans="1:6" ht="15.75" thickBot="1" x14ac:dyDescent="0.35">
      <c r="A28" s="145" t="s">
        <v>205</v>
      </c>
      <c r="B28" s="146"/>
      <c r="C28" s="147"/>
      <c r="D28" s="168" t="e">
        <f>#REF!</f>
        <v>#REF!</v>
      </c>
      <c r="E28" s="236" t="e">
        <f>'1T'!E28</f>
        <v>#REF!</v>
      </c>
      <c r="F28" s="237"/>
    </row>
    <row r="29" spans="1:6" ht="15.75" thickTop="1" x14ac:dyDescent="0.3"/>
  </sheetData>
  <mergeCells count="18">
    <mergeCell ref="E17:F17"/>
    <mergeCell ref="E24:F24"/>
    <mergeCell ref="A1:F1"/>
    <mergeCell ref="A4:F4"/>
    <mergeCell ref="B5:D5"/>
    <mergeCell ref="E5:F5"/>
    <mergeCell ref="D23:F23"/>
    <mergeCell ref="A14:F14"/>
    <mergeCell ref="B15:D15"/>
    <mergeCell ref="E16:F16"/>
    <mergeCell ref="E27:F27"/>
    <mergeCell ref="E28:F28"/>
    <mergeCell ref="E18:F18"/>
    <mergeCell ref="E19:F19"/>
    <mergeCell ref="E20:F20"/>
    <mergeCell ref="A22:F22"/>
    <mergeCell ref="E25:F25"/>
    <mergeCell ref="E26:F26"/>
  </mergeCells>
  <phoneticPr fontId="18" type="noConversion"/>
  <conditionalFormatting sqref="F7:F13 D7:D13 D25:D27 D17:F20 E25:F28 E7:E12">
    <cfRule type="cellIs" dxfId="7" priority="1" stopIfTrue="1" operator="lessThan">
      <formula>0</formula>
    </cfRule>
  </conditionalFormatting>
  <conditionalFormatting sqref="D28">
    <cfRule type="cellIs" dxfId="6" priority="2" stopIfTrue="1" operator="notEqual">
      <formula>$D$25+$D$26+$D$27</formula>
    </cfRule>
  </conditionalFormatting>
  <printOptions horizontalCentered="1"/>
  <pageMargins left="0.78740157480314965" right="0.78740157480314965" top="0.59055118110236227" bottom="0.98425196850393704" header="0" footer="0"/>
  <pageSetup paperSize="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8"/>
  <sheetViews>
    <sheetView zoomScaleNormal="100" zoomScaleSheetLayoutView="100" workbookViewId="0">
      <selection sqref="A1:F1"/>
    </sheetView>
  </sheetViews>
  <sheetFormatPr baseColWidth="10" defaultRowHeight="12.75" x14ac:dyDescent="0.2"/>
  <cols>
    <col min="1" max="1" width="16" style="151" customWidth="1"/>
    <col min="2" max="2" width="15.7109375" style="151" customWidth="1"/>
    <col min="3" max="5" width="15.7109375" style="149" customWidth="1"/>
    <col min="6" max="8" width="15.7109375" style="151" customWidth="1"/>
    <col min="9" max="16384" width="11.42578125" style="151"/>
  </cols>
  <sheetData>
    <row r="3" spans="1:8" ht="20.25" customHeight="1" x14ac:dyDescent="0.2">
      <c r="B3" s="148" t="s">
        <v>216</v>
      </c>
      <c r="D3" s="150"/>
      <c r="G3" s="148"/>
    </row>
    <row r="5" spans="1:8" s="154" customFormat="1" ht="24" x14ac:dyDescent="0.2">
      <c r="B5" s="155" t="s">
        <v>200</v>
      </c>
      <c r="C5" s="156" t="s">
        <v>209</v>
      </c>
      <c r="D5" s="156" t="s">
        <v>210</v>
      </c>
      <c r="E5" s="157" t="s">
        <v>211</v>
      </c>
      <c r="F5" s="155" t="s">
        <v>194</v>
      </c>
      <c r="G5" s="156" t="s">
        <v>212</v>
      </c>
      <c r="H5" s="157" t="s">
        <v>213</v>
      </c>
    </row>
    <row r="6" spans="1:8" s="152" customFormat="1" ht="21" customHeight="1" x14ac:dyDescent="0.2">
      <c r="A6" s="152" t="s">
        <v>214</v>
      </c>
      <c r="B6" s="158">
        <f>BAL!B33-BAL!I51</f>
        <v>327838197.88</v>
      </c>
      <c r="C6" s="159">
        <f>BAL!B33/BAL!I51</f>
        <v>1.8519889184670455</v>
      </c>
      <c r="D6" s="159">
        <f>BAL!B70/(BAL!I36+BAL!I51)</f>
        <v>1.1451701145671269</v>
      </c>
      <c r="E6" s="163">
        <f>(BAL!I36+BAL!I51)/BAL!I10</f>
        <v>6.8884701576444156</v>
      </c>
      <c r="F6" s="162">
        <f>PyG!C84-PyG!C44</f>
        <v>-3623745.709999999</v>
      </c>
      <c r="G6" s="160">
        <f>PyG!C77/PyG!C13</f>
        <v>-0.38473279209822198</v>
      </c>
      <c r="H6" s="161">
        <f>(PyG!C77-PyG!C65)/PyG!C13</f>
        <v>-7.6830910029974164E-2</v>
      </c>
    </row>
    <row r="7" spans="1:8" s="153" customFormat="1" ht="21" customHeight="1" x14ac:dyDescent="0.2">
      <c r="A7" s="152" t="s">
        <v>153</v>
      </c>
      <c r="B7" s="158">
        <f>BAL!C33-BAL!J51</f>
        <v>358305355.61999989</v>
      </c>
      <c r="C7" s="159">
        <f>BAL!C33/BAL!J51</f>
        <v>1.9739312188774187</v>
      </c>
      <c r="D7" s="159">
        <f>BAL!C70/(BAL!J36+BAL!J51)</f>
        <v>1.1429407684885842</v>
      </c>
      <c r="E7" s="163">
        <f>(BAL!J36+BAL!J51)/BAL!J10</f>
        <v>6.9959047648981061</v>
      </c>
      <c r="F7" s="162">
        <f>PyG!D84-PyG!D44</f>
        <v>-3122548.1499999966</v>
      </c>
      <c r="G7" s="160">
        <f>PyG!D77/PyG!D13</f>
        <v>-0.14763449745037036</v>
      </c>
      <c r="H7" s="161">
        <f>(PyG!D77-PyG!D65)/PyG!D13</f>
        <v>0.11058941214528982</v>
      </c>
    </row>
    <row r="8" spans="1:8" s="153" customFormat="1" ht="21" customHeight="1" x14ac:dyDescent="0.2">
      <c r="A8" s="152" t="s">
        <v>215</v>
      </c>
      <c r="B8" s="158">
        <f>BAL!D33-BAL!K51</f>
        <v>299852812.30999994</v>
      </c>
      <c r="C8" s="159">
        <f>BAL!D33/BAL!K51</f>
        <v>1.8066707278106746</v>
      </c>
      <c r="D8" s="159">
        <f>BAL!D70/(BAL!K36+BAL!K51)</f>
        <v>1.1463752401640015</v>
      </c>
      <c r="E8" s="163">
        <f>(BAL!K36+BAL!K51)/BAL!K10</f>
        <v>6.8317565107294147</v>
      </c>
      <c r="F8" s="162">
        <f>PyG!E84-PyG!E44</f>
        <v>-9302169.7500000093</v>
      </c>
      <c r="G8" s="160">
        <f>PyG!E77/PyG!E13</f>
        <v>-0.17670020257733127</v>
      </c>
      <c r="H8" s="161">
        <f>(PyG!E77-PyG!E65)/PyG!E13</f>
        <v>3.415069307943279E-2</v>
      </c>
    </row>
    <row r="9" spans="1:8" s="153" customFormat="1" ht="21" customHeight="1" x14ac:dyDescent="0.2">
      <c r="A9" s="152" t="s">
        <v>154</v>
      </c>
      <c r="B9" s="158">
        <f>BAL!E33-BAL!L51</f>
        <v>271613356.54000002</v>
      </c>
      <c r="C9" s="159">
        <f>BAL!E33/BAL!L51</f>
        <v>1.782469520110521</v>
      </c>
      <c r="D9" s="159">
        <f>BAL!E70/(BAL!L36+BAL!L51)</f>
        <v>1.1251342680146936</v>
      </c>
      <c r="E9" s="163">
        <f>(BAL!L36+BAL!L51)/BAL!L10</f>
        <v>7.9914160674402703</v>
      </c>
      <c r="F9" s="162">
        <f>PyG!F84-PyG!F44</f>
        <v>-24623798.259999998</v>
      </c>
      <c r="G9" s="160">
        <f>PyG!F77/PyG!F13</f>
        <v>-0.27494178687679321</v>
      </c>
      <c r="H9" s="161">
        <f>(PyG!F77-PyG!F65)/PyG!F13</f>
        <v>-6.2715030132431876E-2</v>
      </c>
    </row>
    <row r="10" spans="1:8" s="153" customFormat="1" ht="18" customHeight="1" x14ac:dyDescent="0.2"/>
    <row r="11" spans="1:8" s="153" customFormat="1" ht="21" customHeight="1" x14ac:dyDescent="0.2"/>
    <row r="12" spans="1:8" s="153" customFormat="1" ht="18" customHeight="1" x14ac:dyDescent="0.2"/>
    <row r="13" spans="1:8" s="153" customFormat="1" ht="18" customHeight="1" x14ac:dyDescent="0.2"/>
    <row r="14" spans="1:8" s="153" customFormat="1" ht="18" customHeight="1" x14ac:dyDescent="0.2"/>
    <row r="16" spans="1:8" s="153" customFormat="1" x14ac:dyDescent="0.2">
      <c r="C16" s="152"/>
      <c r="D16" s="152"/>
      <c r="E16" s="152"/>
    </row>
    <row r="18" spans="3:5" s="152" customFormat="1" ht="21" customHeight="1" x14ac:dyDescent="0.2"/>
    <row r="19" spans="3:5" s="153" customFormat="1" ht="18" customHeight="1" x14ac:dyDescent="0.2"/>
    <row r="20" spans="3:5" s="153" customFormat="1" ht="18" customHeight="1" x14ac:dyDescent="0.2"/>
    <row r="21" spans="3:5" s="153" customFormat="1" ht="18" customHeight="1" x14ac:dyDescent="0.2"/>
    <row r="22" spans="3:5" s="153" customFormat="1" ht="18" customHeight="1" x14ac:dyDescent="0.2"/>
    <row r="23" spans="3:5" s="153" customFormat="1" ht="21" customHeight="1" x14ac:dyDescent="0.2"/>
    <row r="24" spans="3:5" s="153" customFormat="1" ht="18" customHeight="1" x14ac:dyDescent="0.2"/>
    <row r="25" spans="3:5" s="153" customFormat="1" ht="18" customHeight="1" x14ac:dyDescent="0.2"/>
    <row r="26" spans="3:5" s="153" customFormat="1" ht="18" customHeight="1" x14ac:dyDescent="0.2"/>
    <row r="28" spans="3:5" s="153" customFormat="1" x14ac:dyDescent="0.2">
      <c r="C28" s="152"/>
      <c r="D28" s="152"/>
      <c r="E28" s="152"/>
    </row>
    <row r="30" spans="3:5" s="152" customFormat="1" ht="21" customHeight="1" x14ac:dyDescent="0.2"/>
    <row r="31" spans="3:5" s="153" customFormat="1" ht="18" customHeight="1" x14ac:dyDescent="0.2"/>
    <row r="32" spans="3:5" s="153" customFormat="1" ht="18" customHeight="1" x14ac:dyDescent="0.2"/>
    <row r="33" s="153" customFormat="1" ht="18" customHeight="1" x14ac:dyDescent="0.2"/>
    <row r="34" s="153" customFormat="1" ht="18" customHeight="1" x14ac:dyDescent="0.2"/>
    <row r="35" s="153" customFormat="1" ht="21" customHeight="1" x14ac:dyDescent="0.2"/>
    <row r="36" s="153" customFormat="1" ht="18" customHeight="1" x14ac:dyDescent="0.2"/>
    <row r="37" s="153" customFormat="1" ht="18" customHeight="1" x14ac:dyDescent="0.2"/>
    <row r="38" s="153" customFormat="1" ht="18" customHeight="1" x14ac:dyDescent="0.2"/>
  </sheetData>
  <sheetProtection password="CE88" sheet="1" objects="1" scenarios="1"/>
  <phoneticPr fontId="0" type="noConversion"/>
  <printOptions horizontalCentered="1" verticalCentered="1"/>
  <pageMargins left="0.78740157480314965" right="0.39370078740157483" top="1" bottom="1" header="0" footer="0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9"/>
  <sheetViews>
    <sheetView showZeros="0" zoomScale="80" zoomScaleNormal="75" workbookViewId="0">
      <selection activeCell="A69" sqref="A69"/>
    </sheetView>
  </sheetViews>
  <sheetFormatPr baseColWidth="10" defaultRowHeight="12.75" x14ac:dyDescent="0.2"/>
  <cols>
    <col min="1" max="1" width="47.7109375" style="54" customWidth="1"/>
    <col min="2" max="7" width="20.7109375" style="54" customWidth="1"/>
    <col min="8" max="8" width="48.7109375" style="54" customWidth="1"/>
    <col min="9" max="13" width="20.7109375" style="54" customWidth="1"/>
    <col min="14" max="14" width="20.5703125" style="54" customWidth="1"/>
    <col min="15" max="15" width="14.85546875" style="10" customWidth="1"/>
    <col min="16" max="16" width="13.5703125" style="9" customWidth="1"/>
    <col min="17" max="32" width="11.42578125" style="9"/>
    <col min="33" max="16384" width="11.42578125" style="54"/>
  </cols>
  <sheetData>
    <row r="1" spans="1:32" s="9" customFormat="1" ht="13.5" thickBot="1" x14ac:dyDescent="0.25">
      <c r="O1" s="10"/>
    </row>
    <row r="2" spans="1:32" s="9" customFormat="1" ht="18" customHeight="1" thickTop="1" thickBot="1" x14ac:dyDescent="0.25">
      <c r="A2" s="12" t="s">
        <v>1</v>
      </c>
      <c r="N2" s="13" t="s">
        <v>244</v>
      </c>
      <c r="O2" s="10"/>
    </row>
    <row r="3" spans="1:32" s="9" customFormat="1" ht="18" customHeight="1" thickTop="1" x14ac:dyDescent="0.2">
      <c r="A3" s="14"/>
      <c r="O3" s="10"/>
    </row>
    <row r="4" spans="1:32" s="9" customFormat="1" ht="18" hidden="1" customHeight="1" x14ac:dyDescent="0.2">
      <c r="A4" s="14"/>
      <c r="O4" s="10"/>
    </row>
    <row r="5" spans="1:32" s="9" customFormat="1" ht="18" customHeight="1" x14ac:dyDescent="0.25">
      <c r="A5" s="202" t="s">
        <v>248</v>
      </c>
      <c r="I5" s="10"/>
      <c r="J5" s="10"/>
      <c r="K5" s="10"/>
      <c r="L5" s="10"/>
      <c r="M5" s="10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ht="5.0999999999999996" customHeight="1" thickBot="1" x14ac:dyDescent="0.25">
      <c r="A6" s="56"/>
      <c r="B6" s="55"/>
      <c r="C6" s="55"/>
      <c r="D6" s="55"/>
      <c r="E6" s="55"/>
      <c r="F6" s="55"/>
      <c r="H6" s="57"/>
      <c r="I6" s="56"/>
      <c r="J6" s="56"/>
      <c r="K6" s="56"/>
      <c r="L6" s="56"/>
      <c r="M6" s="56"/>
      <c r="N6" s="55"/>
      <c r="O6" s="15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2" ht="15.75" x14ac:dyDescent="0.2">
      <c r="A7" s="251" t="s">
        <v>0</v>
      </c>
      <c r="B7" s="2" t="s">
        <v>3</v>
      </c>
      <c r="C7" s="2" t="s">
        <v>3</v>
      </c>
      <c r="D7" s="2" t="s">
        <v>3</v>
      </c>
      <c r="E7" s="2" t="s">
        <v>3</v>
      </c>
      <c r="F7" s="2" t="s">
        <v>3</v>
      </c>
      <c r="G7" s="17" t="s">
        <v>2</v>
      </c>
      <c r="H7" s="253" t="s">
        <v>4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17" t="s">
        <v>2</v>
      </c>
    </row>
    <row r="8" spans="1:32" ht="16.5" thickBot="1" x14ac:dyDescent="0.25">
      <c r="A8" s="252"/>
      <c r="B8" s="6" t="s">
        <v>240</v>
      </c>
      <c r="C8" s="6" t="s">
        <v>241</v>
      </c>
      <c r="D8" s="6" t="s">
        <v>242</v>
      </c>
      <c r="E8" s="6" t="s">
        <v>243</v>
      </c>
      <c r="F8" s="6" t="s">
        <v>182</v>
      </c>
      <c r="G8" s="4">
        <v>2012</v>
      </c>
      <c r="H8" s="252"/>
      <c r="I8" s="6" t="str">
        <f t="shared" ref="I8:N8" si="0">B8</f>
        <v>31.03.12</v>
      </c>
      <c r="J8" s="6" t="str">
        <f t="shared" si="0"/>
        <v>30.06.12</v>
      </c>
      <c r="K8" s="6" t="str">
        <f t="shared" si="0"/>
        <v>30.09.12</v>
      </c>
      <c r="L8" s="6" t="str">
        <f t="shared" si="0"/>
        <v>31.12.12</v>
      </c>
      <c r="M8" s="6" t="str">
        <f t="shared" si="0"/>
        <v>31.12.11</v>
      </c>
      <c r="N8" s="5">
        <f t="shared" si="0"/>
        <v>2012</v>
      </c>
    </row>
    <row r="9" spans="1:32" ht="14.1" customHeight="1" thickTop="1" x14ac:dyDescent="0.2">
      <c r="A9" s="53"/>
      <c r="B9" s="58"/>
      <c r="C9" s="58"/>
      <c r="D9" s="58"/>
      <c r="E9" s="58"/>
      <c r="F9" s="58"/>
      <c r="G9" s="212"/>
      <c r="H9" s="9"/>
      <c r="I9" s="58"/>
      <c r="J9" s="58"/>
      <c r="K9" s="58"/>
      <c r="L9" s="58"/>
      <c r="M9" s="58"/>
      <c r="N9" s="212"/>
      <c r="P9" s="10"/>
    </row>
    <row r="10" spans="1:32" ht="14.1" customHeight="1" x14ac:dyDescent="0.2">
      <c r="A10" s="33" t="s">
        <v>5</v>
      </c>
      <c r="B10" s="23">
        <f t="shared" ref="B10:G10" si="1">B11+B17+B21+B24+B31</f>
        <v>364444507.13999999</v>
      </c>
      <c r="C10" s="23">
        <f t="shared" si="1"/>
        <v>366043371.61000001</v>
      </c>
      <c r="D10" s="23">
        <f t="shared" si="1"/>
        <v>366976804.65999997</v>
      </c>
      <c r="E10" s="23">
        <f t="shared" si="1"/>
        <v>367302263.73000002</v>
      </c>
      <c r="F10" s="23">
        <f t="shared" si="1"/>
        <v>364441663.51999998</v>
      </c>
      <c r="G10" s="213">
        <f t="shared" si="1"/>
        <v>333363418.22000003</v>
      </c>
      <c r="H10" s="29" t="s">
        <v>35</v>
      </c>
      <c r="I10" s="23">
        <f t="shared" ref="I10:N10" si="2">I11+I26+I31</f>
        <v>136537795.69999999</v>
      </c>
      <c r="J10" s="23">
        <f t="shared" si="2"/>
        <v>136600511.59</v>
      </c>
      <c r="K10" s="23">
        <f t="shared" si="2"/>
        <v>132607047.54000001</v>
      </c>
      <c r="L10" s="23">
        <f t="shared" si="2"/>
        <v>109664468.29000001</v>
      </c>
      <c r="M10" s="23">
        <f t="shared" si="2"/>
        <v>143951116.11000004</v>
      </c>
      <c r="N10" s="213">
        <f t="shared" si="2"/>
        <v>132281461.03000002</v>
      </c>
      <c r="O10" s="20"/>
      <c r="P10" s="21"/>
    </row>
    <row r="11" spans="1:32" ht="14.1" customHeight="1" x14ac:dyDescent="0.2">
      <c r="A11" s="8" t="s">
        <v>6</v>
      </c>
      <c r="B11" s="18">
        <f t="shared" ref="B11:G11" si="3">SUM(B12:B16)</f>
        <v>325960.19</v>
      </c>
      <c r="C11" s="18">
        <f t="shared" si="3"/>
        <v>237875.94</v>
      </c>
      <c r="D11" s="18">
        <f t="shared" si="3"/>
        <v>173345.08</v>
      </c>
      <c r="E11" s="18">
        <f t="shared" si="3"/>
        <v>108814.33</v>
      </c>
      <c r="F11" s="18">
        <f t="shared" si="3"/>
        <v>437855.11</v>
      </c>
      <c r="G11" s="203">
        <f t="shared" si="3"/>
        <v>858814.33</v>
      </c>
      <c r="H11" s="36" t="s">
        <v>36</v>
      </c>
      <c r="I11" s="18">
        <f t="shared" ref="I11:N11" si="4">I12+I15+I16+I19+I22+I23+I24</f>
        <v>1747756.5600000117</v>
      </c>
      <c r="J11" s="18">
        <f t="shared" si="4"/>
        <v>-16893.289999986067</v>
      </c>
      <c r="K11" s="18">
        <f t="shared" si="4"/>
        <v>-8426567.6999999993</v>
      </c>
      <c r="L11" s="18">
        <f t="shared" si="4"/>
        <v>-26074072.839999989</v>
      </c>
      <c r="M11" s="18">
        <f t="shared" si="4"/>
        <v>7672364.7700000256</v>
      </c>
      <c r="N11" s="203">
        <f t="shared" si="4"/>
        <v>407704.61000001431</v>
      </c>
    </row>
    <row r="12" spans="1:32" ht="14.1" customHeight="1" x14ac:dyDescent="0.2">
      <c r="A12" s="22" t="s">
        <v>142</v>
      </c>
      <c r="B12" s="7"/>
      <c r="C12" s="7"/>
      <c r="D12" s="7"/>
      <c r="E12" s="7"/>
      <c r="F12" s="18"/>
      <c r="G12" s="203"/>
      <c r="H12" s="42" t="s">
        <v>37</v>
      </c>
      <c r="I12" s="18">
        <f t="shared" ref="I12:N12" si="5">SUM(I13:I14)</f>
        <v>97311215.5</v>
      </c>
      <c r="J12" s="18">
        <f t="shared" si="5"/>
        <v>97311215.5</v>
      </c>
      <c r="K12" s="18">
        <f t="shared" si="5"/>
        <v>97311215.5</v>
      </c>
      <c r="L12" s="18">
        <f t="shared" si="5"/>
        <v>97311215.5</v>
      </c>
      <c r="M12" s="18">
        <f t="shared" si="5"/>
        <v>97311215.5</v>
      </c>
      <c r="N12" s="203">
        <f t="shared" si="5"/>
        <v>97311215.5</v>
      </c>
    </row>
    <row r="13" spans="1:32" ht="14.1" customHeight="1" x14ac:dyDescent="0.2">
      <c r="A13" s="22" t="s">
        <v>7</v>
      </c>
      <c r="B13" s="7"/>
      <c r="C13" s="7"/>
      <c r="D13" s="7"/>
      <c r="E13" s="7"/>
      <c r="F13" s="18"/>
      <c r="G13" s="203"/>
      <c r="H13" s="24" t="s">
        <v>38</v>
      </c>
      <c r="I13" s="7">
        <v>97311215.5</v>
      </c>
      <c r="J13" s="7">
        <v>97311215.5</v>
      </c>
      <c r="K13" s="7">
        <v>97311215.5</v>
      </c>
      <c r="L13" s="7">
        <v>97311215.5</v>
      </c>
      <c r="M13" s="18">
        <v>97311215.5</v>
      </c>
      <c r="N13" s="203">
        <v>97311215.5</v>
      </c>
    </row>
    <row r="14" spans="1:32" ht="14.1" customHeight="1" x14ac:dyDescent="0.2">
      <c r="A14" s="22" t="s">
        <v>8</v>
      </c>
      <c r="B14" s="7"/>
      <c r="C14" s="7"/>
      <c r="D14" s="7"/>
      <c r="E14" s="7"/>
      <c r="F14" s="18"/>
      <c r="G14" s="203"/>
      <c r="H14" s="25" t="s">
        <v>39</v>
      </c>
      <c r="I14" s="7"/>
      <c r="J14" s="7"/>
      <c r="K14" s="7"/>
      <c r="L14" s="7"/>
      <c r="M14" s="18"/>
      <c r="N14" s="203"/>
    </row>
    <row r="15" spans="1:32" ht="14.1" customHeight="1" x14ac:dyDescent="0.2">
      <c r="A15" s="26" t="s">
        <v>9</v>
      </c>
      <c r="B15" s="7">
        <v>325960.19</v>
      </c>
      <c r="C15" s="7">
        <v>237875.94</v>
      </c>
      <c r="D15" s="7">
        <v>173345.08</v>
      </c>
      <c r="E15" s="7">
        <v>108814.33</v>
      </c>
      <c r="F15" s="18">
        <v>437855.11</v>
      </c>
      <c r="G15" s="203">
        <v>858814.33</v>
      </c>
      <c r="H15" s="42" t="s">
        <v>40</v>
      </c>
      <c r="I15" s="7"/>
      <c r="J15" s="7"/>
      <c r="K15" s="7"/>
      <c r="L15" s="7"/>
      <c r="M15" s="18"/>
      <c r="N15" s="203"/>
    </row>
    <row r="16" spans="1:32" ht="14.1" customHeight="1" x14ac:dyDescent="0.2">
      <c r="A16" s="22" t="s">
        <v>10</v>
      </c>
      <c r="B16" s="7"/>
      <c r="C16" s="7"/>
      <c r="D16" s="7"/>
      <c r="E16" s="7"/>
      <c r="F16" s="18"/>
      <c r="G16" s="203"/>
      <c r="H16" s="42" t="s">
        <v>41</v>
      </c>
      <c r="I16" s="18">
        <f t="shared" ref="I16:N16" si="6">SUM(I17:I18)</f>
        <v>1097209.0900000001</v>
      </c>
      <c r="J16" s="18">
        <f t="shared" si="6"/>
        <v>1097209.0900000001</v>
      </c>
      <c r="K16" s="18">
        <f t="shared" si="6"/>
        <v>1097209.0900000001</v>
      </c>
      <c r="L16" s="18">
        <f t="shared" si="6"/>
        <v>1097209.0900000001</v>
      </c>
      <c r="M16" s="18">
        <f t="shared" si="6"/>
        <v>1097209.0900000001</v>
      </c>
      <c r="N16" s="203">
        <f t="shared" si="6"/>
        <v>1097209.0900000001</v>
      </c>
    </row>
    <row r="17" spans="1:32" ht="14.1" customHeight="1" x14ac:dyDescent="0.2">
      <c r="A17" s="8" t="s">
        <v>11</v>
      </c>
      <c r="B17" s="18">
        <f t="shared" ref="B17:G17" si="7">SUM(B18:B20)</f>
        <v>45961498.150000006</v>
      </c>
      <c r="C17" s="18">
        <f t="shared" si="7"/>
        <v>50465390.289999999</v>
      </c>
      <c r="D17" s="18">
        <f t="shared" si="7"/>
        <v>54261087.43</v>
      </c>
      <c r="E17" s="18">
        <f t="shared" si="7"/>
        <v>52094799.950000003</v>
      </c>
      <c r="F17" s="18">
        <f t="shared" si="7"/>
        <v>42641733.200000003</v>
      </c>
      <c r="G17" s="203">
        <f t="shared" si="7"/>
        <v>96555142.74000001</v>
      </c>
      <c r="H17" s="24" t="s">
        <v>42</v>
      </c>
      <c r="I17" s="7">
        <v>1096690.06</v>
      </c>
      <c r="J17" s="7">
        <v>1096690.06</v>
      </c>
      <c r="K17" s="7">
        <v>1096690.06</v>
      </c>
      <c r="L17" s="7">
        <v>1096690.06</v>
      </c>
      <c r="M17" s="18">
        <v>1096690.06</v>
      </c>
      <c r="N17" s="203">
        <v>1097209.0900000001</v>
      </c>
    </row>
    <row r="18" spans="1:32" ht="14.1" customHeight="1" x14ac:dyDescent="0.2">
      <c r="A18" s="22" t="s">
        <v>12</v>
      </c>
      <c r="B18" s="7">
        <v>15457358.720000001</v>
      </c>
      <c r="C18" s="7">
        <v>15457358.720000001</v>
      </c>
      <c r="D18" s="7">
        <v>15457358.720000001</v>
      </c>
      <c r="E18" s="7">
        <v>15457358.720000001</v>
      </c>
      <c r="F18" s="18">
        <v>15457358.720000001</v>
      </c>
      <c r="G18" s="203">
        <v>15032752.51</v>
      </c>
      <c r="H18" s="27" t="s">
        <v>43</v>
      </c>
      <c r="I18" s="7">
        <v>519.03</v>
      </c>
      <c r="J18" s="7">
        <v>519.03</v>
      </c>
      <c r="K18" s="7">
        <v>519.03</v>
      </c>
      <c r="L18" s="7">
        <v>519.03</v>
      </c>
      <c r="M18" s="18">
        <v>519.03</v>
      </c>
      <c r="N18" s="203"/>
    </row>
    <row r="19" spans="1:32" ht="14.1" customHeight="1" x14ac:dyDescent="0.2">
      <c r="A19" s="22" t="s">
        <v>13</v>
      </c>
      <c r="B19" s="7">
        <v>8859586.1699999999</v>
      </c>
      <c r="C19" s="7">
        <v>8769947.25</v>
      </c>
      <c r="D19" s="7">
        <v>8679040.2599999998</v>
      </c>
      <c r="E19" s="7">
        <v>8624254.7300000004</v>
      </c>
      <c r="F19" s="18">
        <v>8965291.4100000001</v>
      </c>
      <c r="G19" s="203">
        <v>8053549.2800000003</v>
      </c>
      <c r="H19" s="42" t="s">
        <v>44</v>
      </c>
      <c r="I19" s="18">
        <f t="shared" ref="I19:N19" si="8">SUM(I20:I21)</f>
        <v>-90736059.819999993</v>
      </c>
      <c r="J19" s="18">
        <f t="shared" si="8"/>
        <v>-90736059.819999993</v>
      </c>
      <c r="K19" s="18">
        <f t="shared" si="8"/>
        <v>-90736059.819999993</v>
      </c>
      <c r="L19" s="18">
        <f t="shared" si="8"/>
        <v>-90736059.819999993</v>
      </c>
      <c r="M19" s="18">
        <f t="shared" si="8"/>
        <v>-64467799.899999999</v>
      </c>
      <c r="N19" s="203">
        <f t="shared" si="8"/>
        <v>-98000720</v>
      </c>
    </row>
    <row r="20" spans="1:32" ht="14.1" customHeight="1" x14ac:dyDescent="0.2">
      <c r="A20" s="22" t="s">
        <v>14</v>
      </c>
      <c r="B20" s="7">
        <v>21644553.260000002</v>
      </c>
      <c r="C20" s="7">
        <v>26238084.32</v>
      </c>
      <c r="D20" s="7">
        <v>30124688.449999999</v>
      </c>
      <c r="E20" s="7">
        <v>28013186.5</v>
      </c>
      <c r="F20" s="18">
        <v>18219083.07</v>
      </c>
      <c r="G20" s="203">
        <v>73468840.950000003</v>
      </c>
      <c r="H20" s="27" t="s">
        <v>45</v>
      </c>
      <c r="I20" s="7"/>
      <c r="J20" s="7"/>
      <c r="K20" s="7"/>
      <c r="L20" s="7"/>
      <c r="M20" s="18"/>
      <c r="N20" s="203"/>
    </row>
    <row r="21" spans="1:32" ht="14.1" customHeight="1" x14ac:dyDescent="0.2">
      <c r="A21" s="28" t="s">
        <v>15</v>
      </c>
      <c r="B21" s="18">
        <f t="shared" ref="B21:G21" si="9">SUM(B22:B23)</f>
        <v>304108455.05000001</v>
      </c>
      <c r="C21" s="18">
        <f t="shared" si="9"/>
        <v>301856437</v>
      </c>
      <c r="D21" s="18">
        <f t="shared" si="9"/>
        <v>299510387.87</v>
      </c>
      <c r="E21" s="18">
        <f t="shared" si="9"/>
        <v>302592716.81999999</v>
      </c>
      <c r="F21" s="18">
        <f t="shared" si="9"/>
        <v>306044126.31999999</v>
      </c>
      <c r="G21" s="203">
        <f t="shared" si="9"/>
        <v>213133057.41999999</v>
      </c>
      <c r="H21" s="25" t="s">
        <v>46</v>
      </c>
      <c r="I21" s="7">
        <v>-90736059.819999993</v>
      </c>
      <c r="J21" s="7">
        <v>-90736059.819999993</v>
      </c>
      <c r="K21" s="7">
        <v>-90736059.819999993</v>
      </c>
      <c r="L21" s="7">
        <v>-90736059.819999993</v>
      </c>
      <c r="M21" s="18">
        <v>-64467799.899999999</v>
      </c>
      <c r="N21" s="203">
        <v>-98000720</v>
      </c>
    </row>
    <row r="22" spans="1:32" ht="14.1" customHeight="1" x14ac:dyDescent="0.2">
      <c r="A22" s="22" t="s">
        <v>16</v>
      </c>
      <c r="B22" s="7">
        <v>53485757.020000003</v>
      </c>
      <c r="C22" s="7">
        <v>53483938.869999997</v>
      </c>
      <c r="D22" s="7">
        <v>53482807.159999996</v>
      </c>
      <c r="E22" s="7">
        <v>53482807.159999996</v>
      </c>
      <c r="F22" s="18">
        <v>53486300.960000001</v>
      </c>
      <c r="G22" s="203">
        <v>45919686.780000001</v>
      </c>
      <c r="H22" s="43" t="s">
        <v>47</v>
      </c>
      <c r="I22" s="7"/>
      <c r="J22" s="7"/>
      <c r="K22" s="7"/>
      <c r="L22" s="7"/>
      <c r="M22" s="18"/>
      <c r="N22" s="203"/>
    </row>
    <row r="23" spans="1:32" ht="14.1" customHeight="1" x14ac:dyDescent="0.2">
      <c r="A23" s="22" t="s">
        <v>17</v>
      </c>
      <c r="B23" s="7">
        <v>250622698.03</v>
      </c>
      <c r="C23" s="7">
        <v>248372498.13</v>
      </c>
      <c r="D23" s="7">
        <v>246027580.71000001</v>
      </c>
      <c r="E23" s="7">
        <v>249109909.66</v>
      </c>
      <c r="F23" s="18">
        <v>252557825.36000001</v>
      </c>
      <c r="G23" s="203">
        <v>167213370.63999999</v>
      </c>
      <c r="H23" s="42" t="s">
        <v>48</v>
      </c>
      <c r="I23" s="18">
        <f>PyG!C84</f>
        <v>-5924608.209999999</v>
      </c>
      <c r="J23" s="18">
        <f>PyG!D84</f>
        <v>-7689258.0599999968</v>
      </c>
      <c r="K23" s="18">
        <f>PyG!E84</f>
        <v>-16098932.47000001</v>
      </c>
      <c r="L23" s="18">
        <f>PyG!F84</f>
        <v>-33746437.609999999</v>
      </c>
      <c r="M23" s="18">
        <f>PyG!J84</f>
        <v>-26268259.919999979</v>
      </c>
      <c r="N23" s="203">
        <f>PyG!K84</f>
        <v>2.000001072883606E-2</v>
      </c>
    </row>
    <row r="24" spans="1:32" ht="14.1" customHeight="1" x14ac:dyDescent="0.2">
      <c r="A24" s="8" t="s">
        <v>18</v>
      </c>
      <c r="B24" s="18">
        <f t="shared" ref="B24:G24" si="10">SUM(B25:B30)</f>
        <v>14048251.370000001</v>
      </c>
      <c r="C24" s="18">
        <f t="shared" si="10"/>
        <v>13483326</v>
      </c>
      <c r="D24" s="18">
        <f t="shared" si="10"/>
        <v>13031641.9</v>
      </c>
      <c r="E24" s="18">
        <f t="shared" si="10"/>
        <v>12505590.25</v>
      </c>
      <c r="F24" s="18">
        <f t="shared" si="10"/>
        <v>15317606.51</v>
      </c>
      <c r="G24" s="203">
        <f t="shared" si="10"/>
        <v>22816403.73</v>
      </c>
      <c r="H24" s="42" t="s">
        <v>49</v>
      </c>
      <c r="I24" s="7"/>
      <c r="J24" s="7"/>
      <c r="K24" s="7"/>
      <c r="L24" s="7"/>
      <c r="M24" s="18"/>
      <c r="N24" s="203"/>
      <c r="O24" s="30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</row>
    <row r="25" spans="1:32" ht="14.1" customHeight="1" x14ac:dyDescent="0.2">
      <c r="A25" s="22" t="s">
        <v>131</v>
      </c>
      <c r="B25" s="7"/>
      <c r="C25" s="7"/>
      <c r="D25" s="7"/>
      <c r="E25" s="7"/>
      <c r="F25" s="18"/>
      <c r="G25" s="203"/>
      <c r="H25" s="9"/>
      <c r="I25" s="18"/>
      <c r="J25" s="18"/>
      <c r="K25" s="18"/>
      <c r="L25" s="18"/>
      <c r="M25" s="18"/>
      <c r="N25" s="203"/>
    </row>
    <row r="26" spans="1:32" ht="14.1" customHeight="1" x14ac:dyDescent="0.2">
      <c r="A26" s="22" t="s">
        <v>132</v>
      </c>
      <c r="B26" s="7">
        <v>13536693.99</v>
      </c>
      <c r="C26" s="7">
        <v>12931259.43</v>
      </c>
      <c r="D26" s="7">
        <v>12555738.1</v>
      </c>
      <c r="E26" s="7">
        <v>12034153.07</v>
      </c>
      <c r="F26" s="18">
        <v>14841377.42</v>
      </c>
      <c r="G26" s="203">
        <v>22437067.140000001</v>
      </c>
      <c r="H26" s="36" t="s">
        <v>50</v>
      </c>
      <c r="I26" s="18">
        <f t="shared" ref="I26:N26" si="11">SUM(I27:I29)</f>
        <v>-113783.53</v>
      </c>
      <c r="J26" s="18">
        <f t="shared" si="11"/>
        <v>-113783.53</v>
      </c>
      <c r="K26" s="18">
        <f t="shared" si="11"/>
        <v>-113783.53</v>
      </c>
      <c r="L26" s="18">
        <f t="shared" si="11"/>
        <v>-113783.53</v>
      </c>
      <c r="M26" s="18">
        <f t="shared" si="11"/>
        <v>-113783.53</v>
      </c>
      <c r="N26" s="203">
        <f t="shared" si="11"/>
        <v>0</v>
      </c>
    </row>
    <row r="27" spans="1:32" ht="14.1" customHeight="1" x14ac:dyDescent="0.2">
      <c r="A27" s="22" t="s">
        <v>133</v>
      </c>
      <c r="B27" s="7"/>
      <c r="C27" s="7"/>
      <c r="D27" s="7"/>
      <c r="E27" s="7"/>
      <c r="F27" s="18"/>
      <c r="G27" s="203"/>
      <c r="H27" s="43" t="s">
        <v>136</v>
      </c>
      <c r="I27" s="7"/>
      <c r="J27" s="7"/>
      <c r="K27" s="7"/>
      <c r="L27" s="7"/>
      <c r="M27" s="18"/>
      <c r="N27" s="203"/>
    </row>
    <row r="28" spans="1:32" ht="14.1" customHeight="1" x14ac:dyDescent="0.2">
      <c r="A28" s="22" t="s">
        <v>134</v>
      </c>
      <c r="B28" s="7">
        <v>172546.08</v>
      </c>
      <c r="C28" s="7">
        <v>213055.27</v>
      </c>
      <c r="D28" s="7">
        <v>136892.5</v>
      </c>
      <c r="E28" s="7">
        <v>136892.5</v>
      </c>
      <c r="F28" s="18">
        <v>136892.5</v>
      </c>
      <c r="G28" s="203"/>
      <c r="H28" s="43" t="s">
        <v>73</v>
      </c>
      <c r="I28" s="7">
        <v>-113783.53</v>
      </c>
      <c r="J28" s="7">
        <v>-113783.53</v>
      </c>
      <c r="K28" s="7">
        <v>-113783.53</v>
      </c>
      <c r="L28" s="7">
        <v>-113783.53</v>
      </c>
      <c r="M28" s="18">
        <v>-113783.53</v>
      </c>
      <c r="N28" s="203"/>
    </row>
    <row r="29" spans="1:32" ht="14.1" customHeight="1" x14ac:dyDescent="0.2">
      <c r="A29" s="22" t="s">
        <v>159</v>
      </c>
      <c r="B29" s="7"/>
      <c r="C29" s="7"/>
      <c r="D29" s="7"/>
      <c r="E29" s="7"/>
      <c r="F29" s="18"/>
      <c r="G29" s="203"/>
      <c r="H29" s="42" t="s">
        <v>74</v>
      </c>
      <c r="I29" s="7"/>
      <c r="J29" s="7"/>
      <c r="K29" s="7"/>
      <c r="L29" s="7"/>
      <c r="M29" s="18"/>
      <c r="N29" s="203"/>
    </row>
    <row r="30" spans="1:32" ht="14.1" customHeight="1" x14ac:dyDescent="0.2">
      <c r="A30" s="22" t="s">
        <v>158</v>
      </c>
      <c r="B30" s="7">
        <v>339011.3</v>
      </c>
      <c r="C30" s="7">
        <v>339011.3</v>
      </c>
      <c r="D30" s="7">
        <v>339011.3</v>
      </c>
      <c r="E30" s="7">
        <v>334544.68</v>
      </c>
      <c r="F30" s="18">
        <v>339336.59</v>
      </c>
      <c r="G30" s="203">
        <v>379336.59</v>
      </c>
      <c r="H30" s="9"/>
      <c r="I30" s="18"/>
      <c r="J30" s="18"/>
      <c r="K30" s="18"/>
      <c r="L30" s="18"/>
      <c r="M30" s="18"/>
      <c r="N30" s="203"/>
    </row>
    <row r="31" spans="1:32" ht="14.1" customHeight="1" x14ac:dyDescent="0.2">
      <c r="A31" s="8" t="s">
        <v>19</v>
      </c>
      <c r="B31" s="7">
        <v>342.38</v>
      </c>
      <c r="C31" s="7">
        <v>342.38</v>
      </c>
      <c r="D31" s="7">
        <v>342.38</v>
      </c>
      <c r="E31" s="7">
        <v>342.38</v>
      </c>
      <c r="F31" s="18">
        <v>342.38</v>
      </c>
      <c r="G31" s="203"/>
      <c r="H31" s="36" t="s">
        <v>51</v>
      </c>
      <c r="I31" s="18">
        <f t="shared" ref="I31:N31" si="12">SUM(I32:I34)</f>
        <v>134903822.66999999</v>
      </c>
      <c r="J31" s="18">
        <f t="shared" si="12"/>
        <v>136731188.41</v>
      </c>
      <c r="K31" s="18">
        <f t="shared" si="12"/>
        <v>141147398.77000001</v>
      </c>
      <c r="L31" s="18">
        <f t="shared" si="12"/>
        <v>135852324.66</v>
      </c>
      <c r="M31" s="18">
        <f t="shared" si="12"/>
        <v>136392534.87</v>
      </c>
      <c r="N31" s="203">
        <f t="shared" si="12"/>
        <v>131873756.42</v>
      </c>
    </row>
    <row r="32" spans="1:32" ht="14.1" customHeight="1" x14ac:dyDescent="0.2">
      <c r="A32" s="32"/>
      <c r="B32" s="18"/>
      <c r="C32" s="18"/>
      <c r="D32" s="18"/>
      <c r="E32" s="18"/>
      <c r="F32" s="18"/>
      <c r="G32" s="203"/>
      <c r="H32" s="43" t="s">
        <v>150</v>
      </c>
      <c r="I32" s="7">
        <v>134903822.66999999</v>
      </c>
      <c r="J32" s="7">
        <v>136731188.41</v>
      </c>
      <c r="K32" s="7">
        <v>141147398.77000001</v>
      </c>
      <c r="L32" s="7">
        <v>135852324.66</v>
      </c>
      <c r="M32" s="18">
        <v>136392534.87</v>
      </c>
      <c r="N32" s="203">
        <v>131873756.42</v>
      </c>
      <c r="P32" s="10"/>
    </row>
    <row r="33" spans="1:16" ht="14.1" customHeight="1" x14ac:dyDescent="0.2">
      <c r="A33" s="33" t="s">
        <v>20</v>
      </c>
      <c r="B33" s="23">
        <f t="shared" ref="B33:G33" si="13">B34+B35+B42+B50+B57+B58</f>
        <v>712629819.89999998</v>
      </c>
      <c r="C33" s="23">
        <f t="shared" si="13"/>
        <v>726201310.3599999</v>
      </c>
      <c r="D33" s="23">
        <f t="shared" si="13"/>
        <v>671569303.27999997</v>
      </c>
      <c r="E33" s="23">
        <f t="shared" si="13"/>
        <v>618736598.48000002</v>
      </c>
      <c r="F33" s="23">
        <f t="shared" si="13"/>
        <v>734325579.77999997</v>
      </c>
      <c r="G33" s="213">
        <f t="shared" si="13"/>
        <v>738846324.51999998</v>
      </c>
      <c r="H33" s="43" t="s">
        <v>151</v>
      </c>
      <c r="I33" s="7"/>
      <c r="J33" s="7"/>
      <c r="K33" s="7"/>
      <c r="L33" s="7"/>
      <c r="M33" s="18"/>
      <c r="N33" s="203"/>
      <c r="O33" s="20"/>
      <c r="P33" s="20"/>
    </row>
    <row r="34" spans="1:16" ht="14.1" customHeight="1" x14ac:dyDescent="0.2">
      <c r="A34" s="8" t="s">
        <v>21</v>
      </c>
      <c r="B34" s="7"/>
      <c r="C34" s="7"/>
      <c r="D34" s="7"/>
      <c r="E34" s="7"/>
      <c r="F34" s="18"/>
      <c r="G34" s="203"/>
      <c r="H34" s="42" t="s">
        <v>152</v>
      </c>
      <c r="I34" s="7"/>
      <c r="J34" s="7"/>
      <c r="K34" s="7"/>
      <c r="L34" s="7"/>
      <c r="M34" s="18"/>
      <c r="N34" s="203"/>
    </row>
    <row r="35" spans="1:16" ht="14.1" customHeight="1" x14ac:dyDescent="0.2">
      <c r="A35" s="40" t="s">
        <v>22</v>
      </c>
      <c r="B35" s="18">
        <f t="shared" ref="B35:G35" si="14">SUM(B36:B41)</f>
        <v>645367498.25</v>
      </c>
      <c r="C35" s="18">
        <f t="shared" si="14"/>
        <v>632712338.38999999</v>
      </c>
      <c r="D35" s="18">
        <f t="shared" si="14"/>
        <v>611558136.04999995</v>
      </c>
      <c r="E35" s="18">
        <f t="shared" si="14"/>
        <v>575101836.73000002</v>
      </c>
      <c r="F35" s="18">
        <f t="shared" si="14"/>
        <v>636881495.10000002</v>
      </c>
      <c r="G35" s="203">
        <f t="shared" si="14"/>
        <v>635568481.2299999</v>
      </c>
      <c r="I35" s="90"/>
      <c r="J35" s="90"/>
      <c r="K35" s="90"/>
      <c r="L35" s="90"/>
      <c r="M35" s="218"/>
      <c r="N35" s="216"/>
    </row>
    <row r="36" spans="1:16" ht="14.1" customHeight="1" x14ac:dyDescent="0.2">
      <c r="A36" s="22" t="s">
        <v>87</v>
      </c>
      <c r="B36" s="7"/>
      <c r="C36" s="7"/>
      <c r="D36" s="7"/>
      <c r="E36" s="7"/>
      <c r="F36" s="18"/>
      <c r="G36" s="203"/>
      <c r="H36" s="29" t="s">
        <v>52</v>
      </c>
      <c r="I36" s="23">
        <f t="shared" ref="I36:N36" si="15">I37+I42+I47+I48+I49</f>
        <v>555744909.04999995</v>
      </c>
      <c r="J36" s="23">
        <f t="shared" si="15"/>
        <v>587748215.17999995</v>
      </c>
      <c r="K36" s="23">
        <f t="shared" si="15"/>
        <v>534222569.43000001</v>
      </c>
      <c r="L36" s="23">
        <f t="shared" si="15"/>
        <v>529251151.98000008</v>
      </c>
      <c r="M36" s="23">
        <f t="shared" si="15"/>
        <v>540451587.81000006</v>
      </c>
      <c r="N36" s="213">
        <f t="shared" si="15"/>
        <v>681435585.78999996</v>
      </c>
    </row>
    <row r="37" spans="1:16" ht="14.1" customHeight="1" x14ac:dyDescent="0.2">
      <c r="A37" s="22" t="s">
        <v>88</v>
      </c>
      <c r="B37" s="7">
        <v>394792163.82999998</v>
      </c>
      <c r="C37" s="7">
        <v>395196147.43000001</v>
      </c>
      <c r="D37" s="7">
        <v>396251227.39999998</v>
      </c>
      <c r="E37" s="7">
        <v>357495602.81</v>
      </c>
      <c r="F37" s="18">
        <v>393908928.56</v>
      </c>
      <c r="G37" s="203">
        <v>430275161.45999998</v>
      </c>
      <c r="H37" s="42" t="s">
        <v>53</v>
      </c>
      <c r="I37" s="18">
        <f t="shared" ref="I37:N37" si="16">SUM(I38:I41)</f>
        <v>8291565.4199999999</v>
      </c>
      <c r="J37" s="18">
        <f t="shared" si="16"/>
        <v>8291565.4199999999</v>
      </c>
      <c r="K37" s="18">
        <f t="shared" si="16"/>
        <v>8291565.4199999999</v>
      </c>
      <c r="L37" s="18">
        <f t="shared" si="16"/>
        <v>11826694.6</v>
      </c>
      <c r="M37" s="18">
        <f t="shared" si="16"/>
        <v>11549149.700000001</v>
      </c>
      <c r="N37" s="203">
        <f t="shared" si="16"/>
        <v>12275329.33</v>
      </c>
    </row>
    <row r="38" spans="1:16" ht="14.1" customHeight="1" x14ac:dyDescent="0.2">
      <c r="A38" s="22" t="s">
        <v>89</v>
      </c>
      <c r="B38" s="7">
        <v>149316921.12</v>
      </c>
      <c r="C38" s="7">
        <v>166729928.71000001</v>
      </c>
      <c r="D38" s="7">
        <v>182094869.50999999</v>
      </c>
      <c r="E38" s="7">
        <v>104716785</v>
      </c>
      <c r="F38" s="18">
        <v>132201612.48999999</v>
      </c>
      <c r="G38" s="203">
        <v>132350773.22</v>
      </c>
      <c r="H38" s="24" t="s">
        <v>54</v>
      </c>
      <c r="I38" s="7">
        <v>19760.400000000001</v>
      </c>
      <c r="J38" s="7">
        <v>19760.400000000001</v>
      </c>
      <c r="K38" s="7">
        <v>19760.400000000001</v>
      </c>
      <c r="L38" s="7">
        <v>19760.400000000001</v>
      </c>
      <c r="M38" s="18">
        <v>19760.400000000001</v>
      </c>
      <c r="N38" s="203">
        <v>59760.4</v>
      </c>
    </row>
    <row r="39" spans="1:16" ht="14.1" customHeight="1" x14ac:dyDescent="0.2">
      <c r="A39" s="22" t="s">
        <v>90</v>
      </c>
      <c r="B39" s="7">
        <v>101258413.3</v>
      </c>
      <c r="C39" s="7">
        <v>70786262.25</v>
      </c>
      <c r="D39" s="7">
        <v>33212039.140000001</v>
      </c>
      <c r="E39" s="7">
        <v>112889448.92</v>
      </c>
      <c r="F39" s="18">
        <v>110770954.05</v>
      </c>
      <c r="G39" s="203">
        <v>72942546.549999997</v>
      </c>
      <c r="H39" s="24" t="s">
        <v>55</v>
      </c>
      <c r="I39" s="7"/>
      <c r="J39" s="7"/>
      <c r="K39" s="7"/>
      <c r="L39" s="7"/>
      <c r="M39" s="18"/>
      <c r="N39" s="203"/>
    </row>
    <row r="40" spans="1:16" ht="14.1" customHeight="1" x14ac:dyDescent="0.2">
      <c r="A40" s="22" t="s">
        <v>91</v>
      </c>
      <c r="B40" s="7"/>
      <c r="C40" s="7"/>
      <c r="D40" s="7"/>
      <c r="E40" s="7"/>
      <c r="F40" s="18"/>
      <c r="G40" s="203"/>
      <c r="H40" s="44" t="s">
        <v>56</v>
      </c>
      <c r="I40" s="7"/>
      <c r="J40" s="7"/>
      <c r="K40" s="7"/>
      <c r="L40" s="7"/>
      <c r="M40" s="18"/>
      <c r="N40" s="203"/>
    </row>
    <row r="41" spans="1:16" ht="14.1" customHeight="1" x14ac:dyDescent="0.2">
      <c r="A41" s="22" t="s">
        <v>165</v>
      </c>
      <c r="B41" s="7"/>
      <c r="C41" s="7"/>
      <c r="D41" s="7"/>
      <c r="E41" s="7"/>
      <c r="F41" s="18"/>
      <c r="G41" s="203"/>
      <c r="H41" s="24" t="s">
        <v>57</v>
      </c>
      <c r="I41" s="7">
        <v>8271805.0199999996</v>
      </c>
      <c r="J41" s="7">
        <v>8271805.0199999996</v>
      </c>
      <c r="K41" s="7">
        <v>8271805.0199999996</v>
      </c>
      <c r="L41" s="7">
        <v>11806934.199999999</v>
      </c>
      <c r="M41" s="18">
        <v>11529389.300000001</v>
      </c>
      <c r="N41" s="203">
        <v>12215568.93</v>
      </c>
    </row>
    <row r="42" spans="1:16" ht="14.1" customHeight="1" x14ac:dyDescent="0.2">
      <c r="A42" s="40" t="s">
        <v>23</v>
      </c>
      <c r="B42" s="18">
        <f t="shared" ref="B42:G42" si="17">SUM(B43:B49)</f>
        <v>24836059.59</v>
      </c>
      <c r="C42" s="18">
        <f t="shared" si="17"/>
        <v>56772491.159999996</v>
      </c>
      <c r="D42" s="18">
        <f t="shared" si="17"/>
        <v>29013102.5</v>
      </c>
      <c r="E42" s="18">
        <f t="shared" si="17"/>
        <v>19451767.890000001</v>
      </c>
      <c r="F42" s="18">
        <f t="shared" si="17"/>
        <v>38803834.020000003</v>
      </c>
      <c r="G42" s="203">
        <f t="shared" si="17"/>
        <v>67818439.969999999</v>
      </c>
      <c r="H42" s="45" t="s">
        <v>58</v>
      </c>
      <c r="I42" s="18">
        <f t="shared" ref="I42:N42" si="18">SUM(I43:I46)</f>
        <v>547453343.63</v>
      </c>
      <c r="J42" s="18">
        <f t="shared" si="18"/>
        <v>551851292.25999999</v>
      </c>
      <c r="K42" s="18">
        <f t="shared" si="18"/>
        <v>498325646.50999999</v>
      </c>
      <c r="L42" s="18">
        <f t="shared" si="18"/>
        <v>489819099.88000005</v>
      </c>
      <c r="M42" s="18">
        <f t="shared" si="18"/>
        <v>528902438.11000007</v>
      </c>
      <c r="N42" s="203">
        <f t="shared" si="18"/>
        <v>669160256.45999992</v>
      </c>
    </row>
    <row r="43" spans="1:16" ht="14.1" customHeight="1" x14ac:dyDescent="0.2">
      <c r="A43" s="35" t="s">
        <v>24</v>
      </c>
      <c r="B43" s="7">
        <v>13655433.640000001</v>
      </c>
      <c r="C43" s="7">
        <v>48068975.630000003</v>
      </c>
      <c r="D43" s="7">
        <v>18645513.870000001</v>
      </c>
      <c r="E43" s="7">
        <v>10110374.26</v>
      </c>
      <c r="F43" s="18">
        <v>20336667.530000001</v>
      </c>
      <c r="G43" s="203">
        <v>37060518</v>
      </c>
      <c r="H43" s="46" t="s">
        <v>59</v>
      </c>
      <c r="I43" s="7">
        <v>544982081.72000003</v>
      </c>
      <c r="J43" s="7">
        <v>549352086.01999998</v>
      </c>
      <c r="K43" s="7">
        <v>495832411.33999997</v>
      </c>
      <c r="L43" s="7">
        <v>488220207.80000001</v>
      </c>
      <c r="M43" s="18">
        <v>526442789.41000003</v>
      </c>
      <c r="N43" s="203">
        <v>666961789.89999998</v>
      </c>
    </row>
    <row r="44" spans="1:16" ht="14.1" customHeight="1" x14ac:dyDescent="0.2">
      <c r="A44" s="35" t="s">
        <v>155</v>
      </c>
      <c r="B44" s="7">
        <v>569590.84</v>
      </c>
      <c r="C44" s="7">
        <v>685512.35</v>
      </c>
      <c r="D44" s="7">
        <v>221481.2</v>
      </c>
      <c r="E44" s="7">
        <v>679078.29</v>
      </c>
      <c r="F44" s="18">
        <v>777827.09</v>
      </c>
      <c r="G44" s="203">
        <f>1000000+25000000</f>
        <v>26000000</v>
      </c>
      <c r="H44" s="46" t="s">
        <v>137</v>
      </c>
      <c r="I44" s="7"/>
      <c r="J44" s="7"/>
      <c r="K44" s="7"/>
      <c r="L44" s="7"/>
      <c r="M44" s="18"/>
      <c r="N44" s="203"/>
    </row>
    <row r="45" spans="1:16" ht="14.1" customHeight="1" x14ac:dyDescent="0.2">
      <c r="A45" s="35" t="s">
        <v>25</v>
      </c>
      <c r="B45" s="7">
        <v>3903861.88</v>
      </c>
      <c r="C45" s="7">
        <v>2875713.23</v>
      </c>
      <c r="D45" s="7">
        <v>3621754.54</v>
      </c>
      <c r="E45" s="7">
        <v>4059103.92</v>
      </c>
      <c r="F45" s="18">
        <v>11755627.890000001</v>
      </c>
      <c r="G45" s="203">
        <v>2500000</v>
      </c>
      <c r="H45" s="46" t="s">
        <v>138</v>
      </c>
      <c r="I45" s="7">
        <v>114125.91</v>
      </c>
      <c r="J45" s="7">
        <v>114125.91</v>
      </c>
      <c r="K45" s="7">
        <v>114125.91</v>
      </c>
      <c r="L45" s="7">
        <v>114125.91</v>
      </c>
      <c r="M45" s="18">
        <v>114125.91</v>
      </c>
      <c r="N45" s="203"/>
    </row>
    <row r="46" spans="1:16" ht="14.1" customHeight="1" x14ac:dyDescent="0.2">
      <c r="A46" s="22" t="s">
        <v>26</v>
      </c>
      <c r="B46" s="7">
        <v>159080.01</v>
      </c>
      <c r="C46" s="7">
        <v>146750.97</v>
      </c>
      <c r="D46" s="7">
        <v>125304.62</v>
      </c>
      <c r="E46" s="7">
        <v>106637.88</v>
      </c>
      <c r="F46" s="18">
        <v>142339.19</v>
      </c>
      <c r="G46" s="203">
        <v>150000</v>
      </c>
      <c r="H46" s="46" t="s">
        <v>139</v>
      </c>
      <c r="I46" s="7">
        <v>2357136</v>
      </c>
      <c r="J46" s="7">
        <v>2385080.33</v>
      </c>
      <c r="K46" s="7">
        <v>2379109.2599999998</v>
      </c>
      <c r="L46" s="7">
        <v>1484766.17</v>
      </c>
      <c r="M46" s="18">
        <v>2345522.79</v>
      </c>
      <c r="N46" s="203">
        <v>2198466.5600000001</v>
      </c>
    </row>
    <row r="47" spans="1:16" ht="14.1" customHeight="1" x14ac:dyDescent="0.2">
      <c r="A47" s="22" t="s">
        <v>27</v>
      </c>
      <c r="B47" s="7"/>
      <c r="C47" s="7"/>
      <c r="D47" s="7"/>
      <c r="E47" s="7"/>
      <c r="F47" s="18"/>
      <c r="G47" s="203"/>
      <c r="H47" s="42" t="s">
        <v>156</v>
      </c>
      <c r="I47" s="7"/>
      <c r="J47" s="7">
        <v>27605357.5</v>
      </c>
      <c r="K47" s="7">
        <v>27605357.5</v>
      </c>
      <c r="L47" s="7">
        <v>27605357.5</v>
      </c>
      <c r="M47" s="18"/>
      <c r="N47" s="203"/>
    </row>
    <row r="48" spans="1:16" ht="14.1" customHeight="1" x14ac:dyDescent="0.2">
      <c r="A48" s="22" t="s">
        <v>28</v>
      </c>
      <c r="B48" s="7">
        <v>6548093.2199999997</v>
      </c>
      <c r="C48" s="7">
        <v>4995538.9800000004</v>
      </c>
      <c r="D48" s="7">
        <v>6399048.2699999996</v>
      </c>
      <c r="E48" s="7">
        <v>4496573.54</v>
      </c>
      <c r="F48" s="18">
        <v>5791372.3200000003</v>
      </c>
      <c r="G48" s="203">
        <v>2107921.9700000002</v>
      </c>
      <c r="H48" s="42" t="s">
        <v>60</v>
      </c>
      <c r="I48" s="7"/>
      <c r="J48" s="7"/>
      <c r="K48" s="7"/>
      <c r="L48" s="7"/>
      <c r="M48" s="18"/>
      <c r="N48" s="203"/>
    </row>
    <row r="49" spans="1:14" ht="14.1" customHeight="1" x14ac:dyDescent="0.2">
      <c r="A49" s="34" t="s">
        <v>29</v>
      </c>
      <c r="B49" s="7"/>
      <c r="C49" s="7"/>
      <c r="D49" s="7"/>
      <c r="E49" s="7"/>
      <c r="F49" s="18"/>
      <c r="G49" s="203"/>
      <c r="H49" s="42" t="s">
        <v>140</v>
      </c>
      <c r="I49" s="7"/>
      <c r="J49" s="7"/>
      <c r="K49" s="7"/>
      <c r="L49" s="7"/>
      <c r="M49" s="18"/>
      <c r="N49" s="203"/>
    </row>
    <row r="50" spans="1:14" ht="14.1" customHeight="1" x14ac:dyDescent="0.2">
      <c r="A50" s="40" t="s">
        <v>30</v>
      </c>
      <c r="B50" s="18">
        <f t="shared" ref="B50:G50" si="19">SUM(B51:B56)</f>
        <v>15313935.560000001</v>
      </c>
      <c r="C50" s="18">
        <f t="shared" si="19"/>
        <v>11455733.27</v>
      </c>
      <c r="D50" s="18">
        <f t="shared" si="19"/>
        <v>14189401.5</v>
      </c>
      <c r="E50" s="18">
        <f t="shared" si="19"/>
        <v>10697955.48</v>
      </c>
      <c r="F50" s="18">
        <f t="shared" si="19"/>
        <v>32757850.239999998</v>
      </c>
      <c r="G50" s="203">
        <f t="shared" si="19"/>
        <v>0</v>
      </c>
      <c r="H50" s="19"/>
      <c r="I50" s="59"/>
      <c r="J50" s="59"/>
      <c r="K50" s="59"/>
      <c r="L50" s="59"/>
      <c r="M50" s="18"/>
      <c r="N50" s="203"/>
    </row>
    <row r="51" spans="1:14" ht="14.1" customHeight="1" x14ac:dyDescent="0.2">
      <c r="A51" s="22" t="s">
        <v>131</v>
      </c>
      <c r="B51" s="7"/>
      <c r="C51" s="7"/>
      <c r="D51" s="7"/>
      <c r="E51" s="7"/>
      <c r="F51" s="18"/>
      <c r="G51" s="203"/>
      <c r="H51" s="14" t="s">
        <v>61</v>
      </c>
      <c r="I51" s="23">
        <f t="shared" ref="I51:N51" si="20">I52+I53+I54+I59+I60+I68</f>
        <v>384791622.01999998</v>
      </c>
      <c r="J51" s="23">
        <f t="shared" si="20"/>
        <v>367895954.74000001</v>
      </c>
      <c r="K51" s="23">
        <f t="shared" si="20"/>
        <v>371716490.97000003</v>
      </c>
      <c r="L51" s="23">
        <f t="shared" si="20"/>
        <v>347123241.94</v>
      </c>
      <c r="M51" s="23">
        <f t="shared" si="20"/>
        <v>414364539.38</v>
      </c>
      <c r="N51" s="213">
        <f t="shared" si="20"/>
        <v>258492695.92000002</v>
      </c>
    </row>
    <row r="52" spans="1:14" ht="14.1" customHeight="1" x14ac:dyDescent="0.2">
      <c r="A52" s="22" t="s">
        <v>132</v>
      </c>
      <c r="B52" s="7"/>
      <c r="C52" s="7"/>
      <c r="D52" s="7"/>
      <c r="E52" s="7"/>
      <c r="F52" s="18"/>
      <c r="G52" s="203"/>
      <c r="H52" s="42" t="s">
        <v>62</v>
      </c>
      <c r="I52" s="7"/>
      <c r="J52" s="7"/>
      <c r="K52" s="7"/>
      <c r="L52" s="7"/>
      <c r="M52" s="18"/>
      <c r="N52" s="203"/>
    </row>
    <row r="53" spans="1:14" ht="14.1" customHeight="1" x14ac:dyDescent="0.2">
      <c r="A53" s="22" t="s">
        <v>133</v>
      </c>
      <c r="B53" s="7"/>
      <c r="C53" s="7"/>
      <c r="D53" s="7"/>
      <c r="E53" s="7"/>
      <c r="F53" s="18"/>
      <c r="G53" s="203"/>
      <c r="H53" s="42" t="s">
        <v>63</v>
      </c>
      <c r="I53" s="7">
        <v>1825295.53</v>
      </c>
      <c r="J53" s="7">
        <v>1825295.53</v>
      </c>
      <c r="K53" s="7">
        <v>1825295.53</v>
      </c>
      <c r="L53" s="7">
        <v>3034047.92</v>
      </c>
      <c r="M53" s="18">
        <v>1825295.53</v>
      </c>
      <c r="N53" s="203">
        <v>6436517.6900000004</v>
      </c>
    </row>
    <row r="54" spans="1:14" ht="14.1" customHeight="1" x14ac:dyDescent="0.2">
      <c r="A54" s="22" t="s">
        <v>134</v>
      </c>
      <c r="B54" s="7"/>
      <c r="C54" s="7"/>
      <c r="D54" s="7"/>
      <c r="E54" s="7"/>
      <c r="F54" s="18"/>
      <c r="G54" s="203"/>
      <c r="H54" s="42" t="s">
        <v>64</v>
      </c>
      <c r="I54" s="18">
        <f t="shared" ref="I54:N54" si="21">SUM(I55:I58)</f>
        <v>154372279.63</v>
      </c>
      <c r="J54" s="18">
        <f t="shared" si="21"/>
        <v>136354400.86000001</v>
      </c>
      <c r="K54" s="18">
        <f t="shared" si="21"/>
        <v>155219871.31</v>
      </c>
      <c r="L54" s="18">
        <f t="shared" si="21"/>
        <v>144544797.84</v>
      </c>
      <c r="M54" s="18">
        <f t="shared" si="21"/>
        <v>183525622.51000002</v>
      </c>
      <c r="N54" s="203">
        <f t="shared" si="21"/>
        <v>109613346.36</v>
      </c>
    </row>
    <row r="55" spans="1:14" ht="14.1" customHeight="1" x14ac:dyDescent="0.2">
      <c r="A55" s="22" t="s">
        <v>159</v>
      </c>
      <c r="B55" s="7">
        <v>15313935.560000001</v>
      </c>
      <c r="C55" s="7">
        <v>11455733.27</v>
      </c>
      <c r="D55" s="7">
        <v>14189401.5</v>
      </c>
      <c r="E55" s="7">
        <v>10697955.48</v>
      </c>
      <c r="F55" s="18"/>
      <c r="G55" s="203"/>
      <c r="H55" s="46" t="s">
        <v>59</v>
      </c>
      <c r="I55" s="7">
        <v>153271655.19999999</v>
      </c>
      <c r="J55" s="7">
        <v>135253776.43000001</v>
      </c>
      <c r="K55" s="7">
        <v>154119246.88</v>
      </c>
      <c r="L55" s="7">
        <v>142368657.68000001</v>
      </c>
      <c r="M55" s="18">
        <v>182424998.08000001</v>
      </c>
      <c r="N55" s="203">
        <v>106041630</v>
      </c>
    </row>
    <row r="56" spans="1:14" ht="14.1" customHeight="1" x14ac:dyDescent="0.2">
      <c r="A56" s="22" t="s">
        <v>158</v>
      </c>
      <c r="B56" s="7"/>
      <c r="C56" s="7"/>
      <c r="D56" s="7"/>
      <c r="E56" s="7"/>
      <c r="F56" s="18">
        <v>32757850.239999998</v>
      </c>
      <c r="G56" s="203"/>
      <c r="H56" s="46" t="s">
        <v>137</v>
      </c>
      <c r="I56" s="7"/>
      <c r="J56" s="7"/>
      <c r="K56" s="7"/>
      <c r="L56" s="7"/>
      <c r="M56" s="18"/>
      <c r="N56" s="203"/>
    </row>
    <row r="57" spans="1:14" ht="14.1" customHeight="1" x14ac:dyDescent="0.2">
      <c r="A57" s="41" t="s">
        <v>135</v>
      </c>
      <c r="B57" s="7"/>
      <c r="C57" s="7"/>
      <c r="D57" s="7"/>
      <c r="E57" s="7"/>
      <c r="F57" s="18"/>
      <c r="G57" s="203"/>
      <c r="H57" s="46" t="s">
        <v>138</v>
      </c>
      <c r="I57" s="7"/>
      <c r="J57" s="7"/>
      <c r="K57" s="7"/>
      <c r="L57" s="7"/>
      <c r="M57" s="18"/>
      <c r="N57" s="203"/>
    </row>
    <row r="58" spans="1:14" ht="14.1" customHeight="1" x14ac:dyDescent="0.2">
      <c r="A58" s="41" t="s">
        <v>31</v>
      </c>
      <c r="B58" s="18">
        <f t="shared" ref="B58:G58" si="22">SUM(B59:B60)</f>
        <v>27112326.5</v>
      </c>
      <c r="C58" s="18">
        <f t="shared" si="22"/>
        <v>25260747.539999999</v>
      </c>
      <c r="D58" s="18">
        <f t="shared" si="22"/>
        <v>16808663.23</v>
      </c>
      <c r="E58" s="18">
        <f t="shared" si="22"/>
        <v>13485038.380000001</v>
      </c>
      <c r="F58" s="18">
        <f t="shared" si="22"/>
        <v>25882400.420000002</v>
      </c>
      <c r="G58" s="203">
        <f t="shared" si="22"/>
        <v>35459403.32</v>
      </c>
      <c r="H58" s="46" t="s">
        <v>139</v>
      </c>
      <c r="I58" s="7">
        <v>1100624.43</v>
      </c>
      <c r="J58" s="7">
        <v>1100624.43</v>
      </c>
      <c r="K58" s="7">
        <v>1100624.43</v>
      </c>
      <c r="L58" s="7">
        <v>2176140.16</v>
      </c>
      <c r="M58" s="18">
        <v>1100624.43</v>
      </c>
      <c r="N58" s="203">
        <v>3571716.36</v>
      </c>
    </row>
    <row r="59" spans="1:14" ht="14.1" customHeight="1" x14ac:dyDescent="0.2">
      <c r="A59" s="34" t="s">
        <v>32</v>
      </c>
      <c r="B59" s="7">
        <v>27112326.5</v>
      </c>
      <c r="C59" s="7">
        <v>25260747.539999999</v>
      </c>
      <c r="D59" s="7">
        <v>16808663.23</v>
      </c>
      <c r="E59" s="7">
        <v>13485038.380000001</v>
      </c>
      <c r="F59" s="18">
        <v>25882400.420000002</v>
      </c>
      <c r="G59" s="203">
        <v>35459403.32</v>
      </c>
      <c r="H59" s="42" t="s">
        <v>164</v>
      </c>
      <c r="I59" s="7">
        <v>58392.46</v>
      </c>
      <c r="J59" s="7">
        <v>58392</v>
      </c>
      <c r="K59" s="7">
        <v>58392.46</v>
      </c>
      <c r="L59" s="7">
        <v>1003359.02</v>
      </c>
      <c r="M59" s="18">
        <v>58392.46</v>
      </c>
      <c r="N59" s="203"/>
    </row>
    <row r="60" spans="1:14" ht="14.1" customHeight="1" x14ac:dyDescent="0.2">
      <c r="A60" s="34" t="s">
        <v>33</v>
      </c>
      <c r="B60" s="7"/>
      <c r="C60" s="7"/>
      <c r="D60" s="7"/>
      <c r="E60" s="7"/>
      <c r="F60" s="18"/>
      <c r="G60" s="203"/>
      <c r="H60" s="42" t="s">
        <v>65</v>
      </c>
      <c r="I60" s="18">
        <f t="shared" ref="I60:N60" si="23">SUM(I61:I67)</f>
        <v>228535654.40000001</v>
      </c>
      <c r="J60" s="18">
        <f t="shared" si="23"/>
        <v>229657866.34999999</v>
      </c>
      <c r="K60" s="18">
        <f t="shared" si="23"/>
        <v>214612931.67000005</v>
      </c>
      <c r="L60" s="18">
        <f t="shared" si="23"/>
        <v>198541037.16</v>
      </c>
      <c r="M60" s="18">
        <f t="shared" si="23"/>
        <v>228955228.88</v>
      </c>
      <c r="N60" s="203">
        <f t="shared" si="23"/>
        <v>142442831.87</v>
      </c>
    </row>
    <row r="61" spans="1:14" ht="14.1" customHeight="1" x14ac:dyDescent="0.2">
      <c r="A61" s="47"/>
      <c r="B61" s="89"/>
      <c r="C61" s="89"/>
      <c r="D61" s="89"/>
      <c r="E61" s="89"/>
      <c r="F61" s="89"/>
      <c r="G61" s="205"/>
      <c r="H61" s="24" t="s">
        <v>66</v>
      </c>
      <c r="I61" s="7">
        <v>105917839.29000001</v>
      </c>
      <c r="J61" s="7">
        <v>91162929.359999999</v>
      </c>
      <c r="K61" s="7">
        <v>97998017.310000002</v>
      </c>
      <c r="L61" s="7">
        <v>91673558.280000001</v>
      </c>
      <c r="M61" s="18">
        <v>94250420.799999997</v>
      </c>
      <c r="N61" s="203">
        <v>73442831.870000005</v>
      </c>
    </row>
    <row r="62" spans="1:14" ht="14.1" customHeight="1" x14ac:dyDescent="0.2">
      <c r="A62" s="47"/>
      <c r="B62" s="75"/>
      <c r="C62" s="75"/>
      <c r="D62" s="75"/>
      <c r="E62" s="75"/>
      <c r="F62" s="75"/>
      <c r="G62" s="207"/>
      <c r="H62" s="24" t="s">
        <v>247</v>
      </c>
      <c r="I62" s="7">
        <v>13910040.65</v>
      </c>
      <c r="J62" s="7">
        <v>13910040.65</v>
      </c>
      <c r="K62" s="7">
        <v>13910040.65</v>
      </c>
      <c r="L62" s="7">
        <v>13910040.65</v>
      </c>
      <c r="M62" s="18">
        <v>13910040.65</v>
      </c>
      <c r="N62" s="203">
        <v>2000000</v>
      </c>
    </row>
    <row r="63" spans="1:14" ht="14.1" customHeight="1" x14ac:dyDescent="0.2">
      <c r="A63" s="47"/>
      <c r="B63" s="75"/>
      <c r="C63" s="75"/>
      <c r="D63" s="75"/>
      <c r="E63" s="75"/>
      <c r="F63" s="75"/>
      <c r="G63" s="207"/>
      <c r="H63" s="24" t="s">
        <v>67</v>
      </c>
      <c r="I63" s="7">
        <v>81393192.379999995</v>
      </c>
      <c r="J63" s="7">
        <v>78856007.280000001</v>
      </c>
      <c r="K63" s="7">
        <v>79894891.769999996</v>
      </c>
      <c r="L63" s="7">
        <v>78912225.950000003</v>
      </c>
      <c r="M63" s="18">
        <v>91665274.859999999</v>
      </c>
      <c r="N63" s="203">
        <v>58000000</v>
      </c>
    </row>
    <row r="64" spans="1:14" ht="14.1" customHeight="1" x14ac:dyDescent="0.2">
      <c r="A64" s="47"/>
      <c r="B64" s="75"/>
      <c r="C64" s="75"/>
      <c r="D64" s="75"/>
      <c r="E64" s="75"/>
      <c r="F64" s="75"/>
      <c r="G64" s="207"/>
      <c r="H64" s="24" t="s">
        <v>68</v>
      </c>
      <c r="I64" s="7">
        <v>2798137.28</v>
      </c>
      <c r="J64" s="7">
        <v>3050499.17</v>
      </c>
      <c r="K64" s="7">
        <v>917309.4</v>
      </c>
      <c r="L64" s="7">
        <v>891807.62</v>
      </c>
      <c r="M64" s="18">
        <v>1013631.29</v>
      </c>
      <c r="N64" s="203">
        <v>1000000</v>
      </c>
    </row>
    <row r="65" spans="1:15" ht="14.1" customHeight="1" x14ac:dyDescent="0.2">
      <c r="A65" s="47"/>
      <c r="B65" s="75"/>
      <c r="C65" s="75"/>
      <c r="D65" s="75"/>
      <c r="E65" s="75"/>
      <c r="F65" s="75"/>
      <c r="G65" s="207"/>
      <c r="H65" s="24" t="s">
        <v>69</v>
      </c>
      <c r="I65" s="7"/>
      <c r="J65" s="7"/>
      <c r="K65" s="7"/>
      <c r="L65" s="7"/>
      <c r="M65" s="18"/>
      <c r="N65" s="203"/>
    </row>
    <row r="66" spans="1:15" ht="14.1" customHeight="1" x14ac:dyDescent="0.2">
      <c r="A66" s="47"/>
      <c r="B66" s="75"/>
      <c r="C66" s="75"/>
      <c r="D66" s="75"/>
      <c r="E66" s="75"/>
      <c r="F66" s="75"/>
      <c r="G66" s="207"/>
      <c r="H66" s="24" t="s">
        <v>70</v>
      </c>
      <c r="I66" s="7">
        <v>7418124.1799999997</v>
      </c>
      <c r="J66" s="7">
        <v>6076539.8799999999</v>
      </c>
      <c r="K66" s="7">
        <v>8114973.4900000002</v>
      </c>
      <c r="L66" s="7">
        <v>5082304.5599999996</v>
      </c>
      <c r="M66" s="18">
        <v>7932877.9100000001</v>
      </c>
      <c r="N66" s="203">
        <v>1000000</v>
      </c>
    </row>
    <row r="67" spans="1:15" ht="14.1" customHeight="1" x14ac:dyDescent="0.2">
      <c r="A67" s="47"/>
      <c r="B67" s="75"/>
      <c r="C67" s="75"/>
      <c r="D67" s="75"/>
      <c r="E67" s="75"/>
      <c r="F67" s="75"/>
      <c r="G67" s="207"/>
      <c r="H67" s="24" t="s">
        <v>71</v>
      </c>
      <c r="I67" s="7">
        <v>17098320.620000001</v>
      </c>
      <c r="J67" s="7">
        <v>36601850.009999998</v>
      </c>
      <c r="K67" s="7">
        <v>13777699.050000001</v>
      </c>
      <c r="L67" s="7">
        <v>8071100.0999999996</v>
      </c>
      <c r="M67" s="18">
        <v>20182983.370000001</v>
      </c>
      <c r="N67" s="203">
        <v>7000000</v>
      </c>
    </row>
    <row r="68" spans="1:15" ht="14.1" customHeight="1" x14ac:dyDescent="0.2">
      <c r="A68" s="47"/>
      <c r="B68" s="75"/>
      <c r="C68" s="75"/>
      <c r="D68" s="75"/>
      <c r="E68" s="75"/>
      <c r="F68" s="75"/>
      <c r="G68" s="207"/>
      <c r="H68" s="42" t="s">
        <v>141</v>
      </c>
      <c r="I68" s="7"/>
      <c r="J68" s="7"/>
      <c r="K68" s="7"/>
      <c r="L68" s="7"/>
      <c r="M68" s="18"/>
      <c r="N68" s="203"/>
    </row>
    <row r="69" spans="1:15" ht="14.1" customHeight="1" thickBot="1" x14ac:dyDescent="0.25">
      <c r="A69" s="47"/>
      <c r="B69" s="75"/>
      <c r="C69" s="75"/>
      <c r="D69" s="75"/>
      <c r="E69" s="75"/>
      <c r="F69" s="75"/>
      <c r="G69" s="207"/>
      <c r="I69" s="201"/>
      <c r="J69" s="201"/>
      <c r="K69" s="201"/>
      <c r="L69" s="201"/>
      <c r="M69" s="219"/>
      <c r="N69" s="217"/>
    </row>
    <row r="70" spans="1:15" ht="16.5" thickBot="1" x14ac:dyDescent="0.25">
      <c r="A70" s="48" t="s">
        <v>34</v>
      </c>
      <c r="B70" s="49">
        <f t="shared" ref="B70:G70" si="24">B10+B33</f>
        <v>1077074327.04</v>
      </c>
      <c r="C70" s="49">
        <f t="shared" si="24"/>
        <v>1092244681.9699998</v>
      </c>
      <c r="D70" s="49">
        <f t="shared" si="24"/>
        <v>1038546107.9399999</v>
      </c>
      <c r="E70" s="49">
        <f t="shared" si="24"/>
        <v>986038862.21000004</v>
      </c>
      <c r="F70" s="215">
        <f t="shared" si="24"/>
        <v>1098767243.3</v>
      </c>
      <c r="G70" s="214">
        <f t="shared" si="24"/>
        <v>1072209742.74</v>
      </c>
      <c r="H70" s="50" t="s">
        <v>72</v>
      </c>
      <c r="I70" s="49">
        <f t="shared" ref="I70:N70" si="25">I10+I36+I51</f>
        <v>1077074326.77</v>
      </c>
      <c r="J70" s="49">
        <f t="shared" si="25"/>
        <v>1092244681.51</v>
      </c>
      <c r="K70" s="49">
        <f t="shared" si="25"/>
        <v>1038546107.9400001</v>
      </c>
      <c r="L70" s="49">
        <f t="shared" si="25"/>
        <v>986038862.21000004</v>
      </c>
      <c r="M70" s="215">
        <f t="shared" si="25"/>
        <v>1098767243.3000002</v>
      </c>
      <c r="N70" s="214">
        <f t="shared" si="25"/>
        <v>1072209742.74</v>
      </c>
    </row>
    <row r="71" spans="1:15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60"/>
      <c r="N71" s="60"/>
    </row>
    <row r="72" spans="1:15" s="38" customFormat="1" ht="15" customHeight="1" x14ac:dyDescent="0.2">
      <c r="A72" s="92" t="s">
        <v>167</v>
      </c>
      <c r="O72" s="39"/>
    </row>
    <row r="73" spans="1:15" s="38" customFormat="1" ht="15" customHeight="1" x14ac:dyDescent="0.2">
      <c r="A73" s="93" t="str">
        <f>IF((B70+C70+D70+E70+F70+G70)=(I70+J70+K70+L70+M70+N70),"","TOTAL ACTIVOS Y TOTAL PN Y PASIVOS NO COINCIDEN")</f>
        <v>TOTAL ACTIVOS Y TOTAL PN Y PASIVOS NO COINCIDEN</v>
      </c>
      <c r="B73" s="94"/>
      <c r="O73" s="39"/>
    </row>
    <row r="74" spans="1:15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  <row r="75" spans="1:15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</row>
    <row r="76" spans="1:15" hidden="1" x14ac:dyDescent="0.2">
      <c r="A76" s="95"/>
      <c r="B76" s="95"/>
      <c r="C76" s="95"/>
      <c r="D76" s="95"/>
      <c r="E76" s="37"/>
      <c r="F76" s="37"/>
      <c r="G76" s="37"/>
      <c r="H76" s="96" t="s">
        <v>172</v>
      </c>
      <c r="I76" s="97" t="s">
        <v>173</v>
      </c>
      <c r="J76" s="97" t="s">
        <v>174</v>
      </c>
      <c r="K76" s="97" t="s">
        <v>175</v>
      </c>
      <c r="L76" s="98" t="s">
        <v>176</v>
      </c>
      <c r="M76" s="37"/>
      <c r="N76" s="37"/>
    </row>
    <row r="77" spans="1:15" ht="14.25" hidden="1" x14ac:dyDescent="0.2">
      <c r="A77" s="37"/>
      <c r="B77" s="37"/>
      <c r="C77" s="37"/>
      <c r="D77" s="37"/>
      <c r="E77" s="37"/>
      <c r="F77" s="37"/>
      <c r="G77" s="37"/>
      <c r="H77" s="99" t="s">
        <v>168</v>
      </c>
      <c r="I77" s="102">
        <f>$M$43+$M$55</f>
        <v>708867787.49000001</v>
      </c>
      <c r="J77" s="102">
        <f>$M$43+$M$55</f>
        <v>708867787.49000001</v>
      </c>
      <c r="K77" s="102">
        <f>$M$43+$M$55</f>
        <v>708867787.49000001</v>
      </c>
      <c r="L77" s="103">
        <f>$M$43+$M$55</f>
        <v>708867787.49000001</v>
      </c>
      <c r="M77" s="37"/>
      <c r="N77" s="37"/>
    </row>
    <row r="78" spans="1:15" ht="14.25" hidden="1" x14ac:dyDescent="0.2">
      <c r="B78" s="37">
        <v>0</v>
      </c>
      <c r="C78" s="37"/>
      <c r="D78" s="37"/>
      <c r="E78" s="37"/>
      <c r="F78" s="37"/>
      <c r="G78" s="37"/>
      <c r="H78" s="99" t="s">
        <v>170</v>
      </c>
      <c r="I78" s="102" t="e">
        <f>#REF!</f>
        <v>#REF!</v>
      </c>
      <c r="J78" s="102" t="e">
        <f>#REF!</f>
        <v>#REF!</v>
      </c>
      <c r="K78" s="102" t="e">
        <f>#REF!</f>
        <v>#REF!</v>
      </c>
      <c r="L78" s="103" t="e">
        <f>#REF!</f>
        <v>#REF!</v>
      </c>
      <c r="M78" s="37"/>
      <c r="N78" s="37"/>
    </row>
    <row r="79" spans="1:15" ht="14.25" hidden="1" x14ac:dyDescent="0.2">
      <c r="B79" s="37">
        <v>0</v>
      </c>
      <c r="C79" s="37">
        <v>0</v>
      </c>
      <c r="D79" s="37">
        <v>0</v>
      </c>
      <c r="E79" s="37"/>
      <c r="F79" s="37"/>
      <c r="G79" s="37"/>
      <c r="H79" s="99" t="s">
        <v>171</v>
      </c>
      <c r="I79" s="102" t="e">
        <f>#REF!</f>
        <v>#REF!</v>
      </c>
      <c r="J79" s="102" t="e">
        <f>#REF!</f>
        <v>#REF!</v>
      </c>
      <c r="K79" s="102" t="e">
        <f>#REF!</f>
        <v>#REF!</v>
      </c>
      <c r="L79" s="103" t="e">
        <f>#REF!</f>
        <v>#REF!</v>
      </c>
      <c r="M79" s="37"/>
      <c r="N79" s="37"/>
    </row>
    <row r="80" spans="1:15" ht="14.25" hidden="1" x14ac:dyDescent="0.2">
      <c r="B80" s="37">
        <v>0</v>
      </c>
      <c r="C80" s="37">
        <v>0</v>
      </c>
      <c r="D80" s="37">
        <v>0</v>
      </c>
      <c r="E80" s="37"/>
      <c r="F80" s="37"/>
      <c r="G80" s="37"/>
      <c r="H80" s="100" t="s">
        <v>169</v>
      </c>
      <c r="I80" s="104">
        <f>I43+I55</f>
        <v>698253736.92000008</v>
      </c>
      <c r="J80" s="104">
        <f>J43+J55</f>
        <v>684605862.45000005</v>
      </c>
      <c r="K80" s="104">
        <f>K43+K55</f>
        <v>649951658.22000003</v>
      </c>
      <c r="L80" s="105">
        <f>L43+L55</f>
        <v>630588865.48000002</v>
      </c>
      <c r="M80" s="37"/>
      <c r="N80" s="37"/>
    </row>
    <row r="81" spans="1:14" hidden="1" x14ac:dyDescent="0.2">
      <c r="B81" s="37">
        <v>0</v>
      </c>
      <c r="C81" s="37"/>
      <c r="D81" s="37">
        <v>0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</row>
    <row r="82" spans="1:14" hidden="1" x14ac:dyDescent="0.2">
      <c r="A82" s="37"/>
      <c r="B82" s="37"/>
      <c r="C82" s="37"/>
      <c r="D82" s="37"/>
      <c r="E82" s="37"/>
      <c r="F82" s="37"/>
      <c r="G82" s="37"/>
      <c r="H82" s="101" t="s">
        <v>177</v>
      </c>
      <c r="I82" s="37"/>
      <c r="J82" s="37"/>
      <c r="K82" s="37"/>
      <c r="L82" s="37"/>
      <c r="M82" s="37"/>
      <c r="N82" s="37"/>
    </row>
    <row r="83" spans="1:14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</row>
    <row r="84" spans="1:14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</row>
    <row r="86" spans="1:14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4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1:14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</row>
    <row r="89" spans="1: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</sheetData>
  <mergeCells count="2">
    <mergeCell ref="A7:A8"/>
    <mergeCell ref="H7:H8"/>
  </mergeCells>
  <phoneticPr fontId="0" type="noConversion"/>
  <conditionalFormatting sqref="I80">
    <cfRule type="cellIs" dxfId="5" priority="1" stopIfTrue="1" operator="notEqual">
      <formula>$I$77+$I$78+$I$79</formula>
    </cfRule>
  </conditionalFormatting>
  <conditionalFormatting sqref="J80">
    <cfRule type="cellIs" dxfId="4" priority="2" stopIfTrue="1" operator="notEqual">
      <formula>$J$77+$J$78+$J$79</formula>
    </cfRule>
  </conditionalFormatting>
  <conditionalFormatting sqref="K80">
    <cfRule type="cellIs" dxfId="3" priority="3" stopIfTrue="1" operator="notEqual">
      <formula>$K$77+$K$78+$K$79</formula>
    </cfRule>
  </conditionalFormatting>
  <conditionalFormatting sqref="L80">
    <cfRule type="cellIs" dxfId="2" priority="4" stopIfTrue="1" operator="notEqual">
      <formula>$L$77+$L$78+$L$79</formula>
    </cfRule>
  </conditionalFormatting>
  <printOptions horizontalCentered="1" verticalCentered="1"/>
  <pageMargins left="0.55118110236220474" right="0.47244094488188981" top="0.11811023622047245" bottom="0.55118110236220474" header="0" footer="0"/>
  <pageSetup paperSize="9" scale="5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P396"/>
  <sheetViews>
    <sheetView showZeros="0" tabSelected="1" zoomScale="80" zoomScaleNormal="75" workbookViewId="0"/>
  </sheetViews>
  <sheetFormatPr baseColWidth="10" defaultRowHeight="12.75" x14ac:dyDescent="0.2"/>
  <cols>
    <col min="1" max="1" width="20.7109375" style="9" customWidth="1"/>
    <col min="2" max="2" width="53.7109375" style="9" customWidth="1"/>
    <col min="3" max="6" width="20.7109375" style="9" customWidth="1"/>
    <col min="7" max="9" width="20.7109375" style="9" hidden="1" customWidth="1"/>
    <col min="10" max="11" width="20.7109375" style="9" customWidth="1"/>
    <col min="12" max="15" width="11.42578125" style="9"/>
    <col min="16" max="19" width="20.7109375" style="9" customWidth="1"/>
    <col min="20" max="16384" width="11.42578125" style="9"/>
  </cols>
  <sheetData>
    <row r="1" spans="2:19" ht="15" customHeight="1" x14ac:dyDescent="0.2"/>
    <row r="2" spans="2:19" ht="15" customHeight="1" x14ac:dyDescent="0.2"/>
    <row r="3" spans="2:19" ht="22.5" customHeight="1" thickBot="1" x14ac:dyDescent="0.25"/>
    <row r="4" spans="2:19" ht="18" customHeight="1" thickTop="1" thickBot="1" x14ac:dyDescent="0.25">
      <c r="B4" s="12" t="s">
        <v>166</v>
      </c>
      <c r="E4" s="11"/>
      <c r="F4" s="11"/>
      <c r="G4" s="11"/>
      <c r="H4" s="11"/>
      <c r="I4" s="11"/>
      <c r="J4" s="11"/>
      <c r="K4" s="13" t="s">
        <v>245</v>
      </c>
    </row>
    <row r="5" spans="2:19" ht="18" customHeight="1" thickTop="1" x14ac:dyDescent="0.2">
      <c r="B5" s="14"/>
      <c r="C5" s="11"/>
      <c r="D5" s="11"/>
      <c r="E5" s="11"/>
      <c r="F5" s="11"/>
      <c r="G5" s="11"/>
      <c r="H5" s="11"/>
      <c r="I5" s="11"/>
      <c r="J5" s="11"/>
    </row>
    <row r="6" spans="2:19" ht="18" hidden="1" customHeight="1" x14ac:dyDescent="0.2">
      <c r="B6" s="14"/>
      <c r="C6" s="11"/>
      <c r="D6" s="11"/>
      <c r="E6" s="11"/>
      <c r="F6" s="11"/>
      <c r="G6" s="11"/>
      <c r="H6" s="11"/>
      <c r="I6" s="11"/>
      <c r="J6" s="11"/>
    </row>
    <row r="7" spans="2:19" ht="18" customHeight="1" x14ac:dyDescent="0.2">
      <c r="B7" s="14" t="str">
        <f>BAL!A5</f>
        <v>SOCIEDAD: EMPRESA MUNICIPAL DE LA VIVIENDA Y SUELO DE MADRID, S.A.</v>
      </c>
      <c r="C7" s="11"/>
      <c r="D7" s="11"/>
      <c r="E7" s="11"/>
      <c r="F7" s="11"/>
      <c r="G7" s="11"/>
      <c r="H7" s="11"/>
      <c r="I7" s="11"/>
      <c r="J7" s="11"/>
    </row>
    <row r="8" spans="2:19" ht="5.0999999999999996" customHeight="1" thickBot="1" x14ac:dyDescent="0.25">
      <c r="B8" s="11"/>
      <c r="C8" s="11"/>
      <c r="D8" s="11"/>
      <c r="E8" s="11"/>
      <c r="F8" s="11"/>
      <c r="G8" s="11"/>
      <c r="H8" s="11"/>
      <c r="I8" s="11"/>
      <c r="J8" s="11"/>
      <c r="K8" s="10"/>
    </row>
    <row r="9" spans="2:19" ht="15.75" x14ac:dyDescent="0.2">
      <c r="B9" s="51"/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2" t="s">
        <v>3</v>
      </c>
      <c r="K9" s="3" t="s">
        <v>2</v>
      </c>
      <c r="M9" s="61"/>
      <c r="N9" s="61"/>
      <c r="O9" s="61"/>
      <c r="P9" s="254"/>
      <c r="Q9" s="254"/>
      <c r="R9" s="254"/>
      <c r="S9" s="254"/>
    </row>
    <row r="10" spans="2:19" ht="16.5" thickBot="1" x14ac:dyDescent="0.25">
      <c r="B10" s="52"/>
      <c r="C10" s="4" t="str">
        <f>BAL!B8</f>
        <v>31.03.12</v>
      </c>
      <c r="D10" s="4" t="str">
        <f>BAL!C8</f>
        <v>30.06.12</v>
      </c>
      <c r="E10" s="4" t="str">
        <f>BAL!D8</f>
        <v>30.09.12</v>
      </c>
      <c r="F10" s="4" t="str">
        <f>BAL!E8</f>
        <v>31.12.12</v>
      </c>
      <c r="G10" s="4" t="s">
        <v>179</v>
      </c>
      <c r="H10" s="4" t="s">
        <v>180</v>
      </c>
      <c r="I10" s="4" t="s">
        <v>181</v>
      </c>
      <c r="J10" s="4" t="s">
        <v>182</v>
      </c>
      <c r="K10" s="5">
        <f>BAL!G8</f>
        <v>2012</v>
      </c>
      <c r="M10" s="62"/>
      <c r="N10" s="254"/>
      <c r="O10" s="254"/>
      <c r="P10" s="62"/>
      <c r="Q10" s="62"/>
      <c r="R10" s="62"/>
      <c r="S10" s="62"/>
    </row>
    <row r="11" spans="2:19" ht="14.1" customHeight="1" thickTop="1" x14ac:dyDescent="0.2">
      <c r="B11" s="63"/>
      <c r="C11" s="74"/>
      <c r="D11" s="74"/>
      <c r="E11" s="74"/>
      <c r="F11" s="74"/>
      <c r="G11" s="74"/>
      <c r="H11" s="74"/>
      <c r="I11" s="74"/>
      <c r="J11" s="210"/>
      <c r="K11" s="204"/>
      <c r="M11" s="10"/>
      <c r="N11" s="10"/>
      <c r="O11" s="10"/>
      <c r="P11" s="10"/>
      <c r="Q11" s="10"/>
      <c r="R11" s="10"/>
      <c r="S11" s="10"/>
    </row>
    <row r="12" spans="2:19" ht="14.1" customHeight="1" x14ac:dyDescent="0.2">
      <c r="B12" s="33" t="s">
        <v>75</v>
      </c>
      <c r="C12" s="18"/>
      <c r="D12" s="18"/>
      <c r="E12" s="18"/>
      <c r="F12" s="18"/>
      <c r="G12" s="18"/>
      <c r="H12" s="18"/>
      <c r="I12" s="18"/>
      <c r="J12" s="18"/>
      <c r="K12" s="203"/>
      <c r="M12" s="10"/>
      <c r="N12" s="10"/>
      <c r="O12" s="10"/>
      <c r="P12" s="20"/>
      <c r="Q12" s="20"/>
      <c r="R12" s="10"/>
      <c r="S12" s="10"/>
    </row>
    <row r="13" spans="2:19" ht="14.1" customHeight="1" x14ac:dyDescent="0.2">
      <c r="B13" s="71" t="s">
        <v>76</v>
      </c>
      <c r="C13" s="18">
        <f t="shared" ref="C13:I13" si="0">C14+C19</f>
        <v>15399280.57</v>
      </c>
      <c r="D13" s="18">
        <f t="shared" si="0"/>
        <v>52083071.32</v>
      </c>
      <c r="E13" s="18">
        <f t="shared" si="0"/>
        <v>91108738.049999997</v>
      </c>
      <c r="F13" s="18">
        <f t="shared" si="0"/>
        <v>122740300.75</v>
      </c>
      <c r="G13" s="18">
        <f t="shared" si="0"/>
        <v>12041242.82</v>
      </c>
      <c r="H13" s="18">
        <f t="shared" si="0"/>
        <v>53597645.299999997</v>
      </c>
      <c r="I13" s="18">
        <f t="shared" si="0"/>
        <v>47485840.880000003</v>
      </c>
      <c r="J13" s="18">
        <f>J14+J19</f>
        <v>89807542.5</v>
      </c>
      <c r="K13" s="203">
        <f>K14+K19</f>
        <v>140328260</v>
      </c>
      <c r="M13" s="10"/>
      <c r="N13" s="10"/>
      <c r="O13" s="10"/>
      <c r="P13" s="10"/>
      <c r="Q13" s="10"/>
      <c r="R13" s="10"/>
      <c r="S13" s="10"/>
    </row>
    <row r="14" spans="2:19" ht="14.1" customHeight="1" x14ac:dyDescent="0.2">
      <c r="B14" s="22" t="s">
        <v>77</v>
      </c>
      <c r="C14" s="18">
        <f t="shared" ref="C14:I14" si="1">SUM(C15:C18)</f>
        <v>15317455.130000001</v>
      </c>
      <c r="D14" s="18">
        <f t="shared" si="1"/>
        <v>51913987.670000002</v>
      </c>
      <c r="E14" s="18">
        <f t="shared" si="1"/>
        <v>90704850.560000002</v>
      </c>
      <c r="F14" s="18">
        <f t="shared" si="1"/>
        <v>122419374.75</v>
      </c>
      <c r="G14" s="18">
        <f t="shared" si="1"/>
        <v>11936464.32</v>
      </c>
      <c r="H14" s="18">
        <f t="shared" si="1"/>
        <v>53283642.75</v>
      </c>
      <c r="I14" s="18">
        <f t="shared" si="1"/>
        <v>46617024.010000005</v>
      </c>
      <c r="J14" s="18">
        <f>SUM(J15:J18)</f>
        <v>88754455.689999998</v>
      </c>
      <c r="K14" s="203">
        <f>SUM(K15:K18)</f>
        <v>139541662</v>
      </c>
      <c r="M14" s="10"/>
      <c r="N14" s="10"/>
      <c r="O14" s="10"/>
      <c r="P14" s="20"/>
      <c r="Q14" s="10"/>
      <c r="R14" s="10"/>
      <c r="S14" s="10"/>
    </row>
    <row r="15" spans="2:19" ht="14.1" customHeight="1" x14ac:dyDescent="0.2">
      <c r="B15" s="88" t="s">
        <v>249</v>
      </c>
      <c r="C15" s="7">
        <v>12073702.15</v>
      </c>
      <c r="D15" s="7">
        <v>45250872.850000001</v>
      </c>
      <c r="E15" s="7">
        <v>80660205.079999998</v>
      </c>
      <c r="F15" s="7">
        <v>108942056.01000001</v>
      </c>
      <c r="G15" s="18">
        <v>8702452</v>
      </c>
      <c r="H15" s="18">
        <v>46640171.109999999</v>
      </c>
      <c r="I15" s="18">
        <v>36976254.460000001</v>
      </c>
      <c r="J15" s="18">
        <v>77792790.129999995</v>
      </c>
      <c r="K15" s="203">
        <v>110010649</v>
      </c>
      <c r="M15" s="10"/>
      <c r="N15" s="10"/>
      <c r="O15" s="10"/>
      <c r="P15" s="10"/>
      <c r="Q15" s="10"/>
      <c r="R15" s="10"/>
      <c r="S15" s="10"/>
    </row>
    <row r="16" spans="2:19" ht="14.1" customHeight="1" x14ac:dyDescent="0.2">
      <c r="B16" s="88" t="s">
        <v>250</v>
      </c>
      <c r="C16" s="7">
        <v>3243752.98</v>
      </c>
      <c r="D16" s="7">
        <v>6663114.8200000003</v>
      </c>
      <c r="E16" s="7">
        <v>10044645.48</v>
      </c>
      <c r="F16" s="7">
        <v>13477318.74</v>
      </c>
      <c r="G16" s="18">
        <v>3234012.32</v>
      </c>
      <c r="H16" s="18">
        <v>6643471.6399999997</v>
      </c>
      <c r="I16" s="18">
        <v>9640769.5500000007</v>
      </c>
      <c r="J16" s="18">
        <v>10961665.560000001</v>
      </c>
      <c r="K16" s="203">
        <v>10500000</v>
      </c>
      <c r="M16" s="10"/>
      <c r="N16" s="10"/>
      <c r="O16" s="10"/>
      <c r="P16" s="10"/>
      <c r="Q16" s="10"/>
      <c r="R16" s="10"/>
      <c r="S16" s="10"/>
    </row>
    <row r="17" spans="1:19" ht="14.1" customHeight="1" x14ac:dyDescent="0.2">
      <c r="B17" s="88" t="s">
        <v>251</v>
      </c>
      <c r="C17" s="7"/>
      <c r="D17" s="7"/>
      <c r="E17" s="7"/>
      <c r="F17" s="7"/>
      <c r="G17" s="18"/>
      <c r="H17" s="18"/>
      <c r="I17" s="18"/>
      <c r="J17" s="18"/>
      <c r="K17" s="203">
        <f>5000000+4248888</f>
        <v>9248888</v>
      </c>
      <c r="M17" s="10"/>
      <c r="N17" s="10"/>
      <c r="O17" s="10"/>
      <c r="P17" s="10"/>
      <c r="Q17" s="10"/>
      <c r="R17" s="10"/>
      <c r="S17" s="10"/>
    </row>
    <row r="18" spans="1:19" ht="14.1" customHeight="1" x14ac:dyDescent="0.2">
      <c r="B18" s="88" t="s">
        <v>252</v>
      </c>
      <c r="C18" s="7"/>
      <c r="D18" s="7"/>
      <c r="E18" s="7"/>
      <c r="F18" s="7"/>
      <c r="G18" s="18"/>
      <c r="H18" s="18"/>
      <c r="I18" s="18"/>
      <c r="J18" s="18"/>
      <c r="K18" s="203">
        <v>9782125</v>
      </c>
      <c r="M18" s="10"/>
      <c r="N18" s="10"/>
      <c r="O18" s="10"/>
      <c r="P18" s="10"/>
      <c r="Q18" s="10"/>
      <c r="R18" s="10"/>
      <c r="S18" s="10"/>
    </row>
    <row r="19" spans="1:19" ht="14.1" customHeight="1" x14ac:dyDescent="0.2">
      <c r="B19" s="26" t="s">
        <v>78</v>
      </c>
      <c r="C19" s="18">
        <f t="shared" ref="C19:I19" si="2">SUM(C20:C23)</f>
        <v>81825.440000000002</v>
      </c>
      <c r="D19" s="18">
        <f t="shared" si="2"/>
        <v>169083.65</v>
      </c>
      <c r="E19" s="18">
        <f t="shared" si="2"/>
        <v>403887.49</v>
      </c>
      <c r="F19" s="18">
        <f t="shared" si="2"/>
        <v>320926</v>
      </c>
      <c r="G19" s="18">
        <f t="shared" si="2"/>
        <v>104778.5</v>
      </c>
      <c r="H19" s="18">
        <f t="shared" si="2"/>
        <v>314002.55</v>
      </c>
      <c r="I19" s="18">
        <f t="shared" si="2"/>
        <v>868816.87</v>
      </c>
      <c r="J19" s="18">
        <f>SUM(J20:J23)</f>
        <v>1053086.81</v>
      </c>
      <c r="K19" s="203">
        <f>SUM(K20:K23)</f>
        <v>786598</v>
      </c>
      <c r="M19" s="10"/>
      <c r="N19" s="10"/>
      <c r="O19" s="10"/>
      <c r="P19" s="10"/>
      <c r="Q19" s="10"/>
      <c r="R19" s="10"/>
      <c r="S19" s="10"/>
    </row>
    <row r="20" spans="1:19" ht="14.1" customHeight="1" x14ac:dyDescent="0.2">
      <c r="A20" s="21"/>
      <c r="B20" s="88" t="s">
        <v>253</v>
      </c>
      <c r="C20" s="7" t="s">
        <v>255</v>
      </c>
      <c r="D20" s="7"/>
      <c r="E20" s="7"/>
      <c r="F20" s="7"/>
      <c r="G20" s="18">
        <v>104778.5</v>
      </c>
      <c r="H20" s="18">
        <v>314002.55</v>
      </c>
      <c r="I20" s="18">
        <v>868816.87</v>
      </c>
      <c r="J20" s="18">
        <v>1053086.81</v>
      </c>
      <c r="K20" s="203">
        <v>260000</v>
      </c>
      <c r="M20" s="10"/>
      <c r="N20" s="10"/>
      <c r="O20" s="10"/>
      <c r="P20" s="10"/>
      <c r="Q20" s="10"/>
      <c r="R20" s="10"/>
      <c r="S20" s="10"/>
    </row>
    <row r="21" spans="1:19" ht="14.1" customHeight="1" x14ac:dyDescent="0.2">
      <c r="A21" s="21"/>
      <c r="B21" s="88" t="s">
        <v>254</v>
      </c>
      <c r="C21" s="7"/>
      <c r="D21" s="7"/>
      <c r="E21" s="7"/>
      <c r="F21" s="7"/>
      <c r="G21" s="18"/>
      <c r="H21" s="18"/>
      <c r="I21" s="18"/>
      <c r="J21" s="18"/>
      <c r="K21" s="203">
        <v>526598</v>
      </c>
      <c r="M21" s="10"/>
      <c r="N21" s="10"/>
      <c r="O21" s="10"/>
      <c r="P21" s="10"/>
      <c r="Q21" s="10"/>
      <c r="R21" s="10"/>
      <c r="S21" s="10"/>
    </row>
    <row r="22" spans="1:19" ht="14.1" customHeight="1" x14ac:dyDescent="0.2">
      <c r="A22" s="21"/>
      <c r="B22" s="88" t="s">
        <v>79</v>
      </c>
      <c r="C22" s="7">
        <v>81825.440000000002</v>
      </c>
      <c r="D22" s="7">
        <v>169083.65</v>
      </c>
      <c r="E22" s="7">
        <v>403887.49</v>
      </c>
      <c r="F22" s="7">
        <v>320926</v>
      </c>
      <c r="G22" s="18"/>
      <c r="H22" s="18"/>
      <c r="I22" s="18"/>
      <c r="J22" s="18"/>
      <c r="K22" s="203"/>
    </row>
    <row r="23" spans="1:19" ht="14.1" customHeight="1" x14ac:dyDescent="0.2">
      <c r="B23" s="88" t="s">
        <v>80</v>
      </c>
      <c r="C23" s="7"/>
      <c r="D23" s="7"/>
      <c r="E23" s="7"/>
      <c r="F23" s="7"/>
      <c r="G23" s="18"/>
      <c r="H23" s="18"/>
      <c r="I23" s="18"/>
      <c r="J23" s="18"/>
      <c r="K23" s="203"/>
    </row>
    <row r="24" spans="1:19" ht="14.1" customHeight="1" x14ac:dyDescent="0.2">
      <c r="B24" s="71" t="s">
        <v>81</v>
      </c>
      <c r="C24" s="7">
        <v>5907567.7300000004</v>
      </c>
      <c r="D24" s="7">
        <v>-7151575.7300000004</v>
      </c>
      <c r="E24" s="7">
        <v>-29360858.039999999</v>
      </c>
      <c r="F24" s="7">
        <v>-21028803.16</v>
      </c>
      <c r="G24" s="18">
        <v>8152670.9299999997</v>
      </c>
      <c r="H24" s="18">
        <v>-1731439.84</v>
      </c>
      <c r="I24" s="18">
        <v>2566735.59</v>
      </c>
      <c r="J24" s="18">
        <v>13761992.98</v>
      </c>
      <c r="K24" s="203">
        <f>10389278.64+6500000</f>
        <v>16889278.640000001</v>
      </c>
    </row>
    <row r="25" spans="1:19" ht="14.1" customHeight="1" x14ac:dyDescent="0.2">
      <c r="B25" s="71" t="s">
        <v>82</v>
      </c>
      <c r="C25" s="7"/>
      <c r="D25" s="7"/>
      <c r="E25" s="7"/>
      <c r="F25" s="7">
        <v>484157.44</v>
      </c>
      <c r="G25" s="18"/>
      <c r="H25" s="18"/>
      <c r="I25" s="18"/>
      <c r="J25" s="18">
        <v>7157768.2599999998</v>
      </c>
      <c r="K25" s="203"/>
    </row>
    <row r="26" spans="1:19" ht="14.1" customHeight="1" x14ac:dyDescent="0.2">
      <c r="B26" s="72" t="s">
        <v>83</v>
      </c>
      <c r="C26" s="18">
        <f t="shared" ref="C26:I26" si="3">SUM(C27:C30)</f>
        <v>-18056141.48</v>
      </c>
      <c r="D26" s="18">
        <f t="shared" si="3"/>
        <v>-33528510.66</v>
      </c>
      <c r="E26" s="18">
        <f t="shared" si="3"/>
        <v>-48831623.210000001</v>
      </c>
      <c r="F26" s="18">
        <f t="shared" si="3"/>
        <v>-108717920.55</v>
      </c>
      <c r="G26" s="18">
        <f t="shared" si="3"/>
        <v>-15735332.859999999</v>
      </c>
      <c r="H26" s="18">
        <f t="shared" si="3"/>
        <v>-52504663.670000002</v>
      </c>
      <c r="I26" s="18">
        <f t="shared" si="3"/>
        <v>-50291576.020000003</v>
      </c>
      <c r="J26" s="18">
        <f>SUM(J27:J30)</f>
        <v>-107870661.72999999</v>
      </c>
      <c r="K26" s="203">
        <f>SUM(K27:K30)</f>
        <v>-135307714.19999999</v>
      </c>
    </row>
    <row r="27" spans="1:19" ht="14.1" customHeight="1" x14ac:dyDescent="0.2">
      <c r="B27" s="22" t="s">
        <v>84</v>
      </c>
      <c r="C27" s="7">
        <v>0</v>
      </c>
      <c r="D27" s="7"/>
      <c r="E27" s="7"/>
      <c r="F27" s="7">
        <v>-20391089.84</v>
      </c>
      <c r="G27" s="18"/>
      <c r="H27" s="18"/>
      <c r="I27" s="18"/>
      <c r="J27" s="18">
        <v>-18615007.449999999</v>
      </c>
      <c r="K27" s="203">
        <v>0</v>
      </c>
    </row>
    <row r="28" spans="1:19" ht="14.1" customHeight="1" x14ac:dyDescent="0.2">
      <c r="B28" s="34" t="s">
        <v>85</v>
      </c>
      <c r="C28" s="65">
        <v>-18056141.48</v>
      </c>
      <c r="D28" s="65">
        <v>-33528510.66</v>
      </c>
      <c r="E28" s="65">
        <v>-48831623.210000001</v>
      </c>
      <c r="F28" s="65">
        <v>-60531722.719999999</v>
      </c>
      <c r="G28" s="64">
        <v>-15735332.859999999</v>
      </c>
      <c r="H28" s="64">
        <v>-52504663.670000002</v>
      </c>
      <c r="I28" s="64">
        <v>-50291576.020000003</v>
      </c>
      <c r="J28" s="18">
        <v>-63855309.899999999</v>
      </c>
      <c r="K28" s="203">
        <v>-128807714.2</v>
      </c>
    </row>
    <row r="29" spans="1:19" ht="14.1" customHeight="1" x14ac:dyDescent="0.2">
      <c r="B29" s="34" t="s">
        <v>86</v>
      </c>
      <c r="C29" s="65"/>
      <c r="D29" s="65"/>
      <c r="E29" s="65"/>
      <c r="F29" s="65"/>
      <c r="G29" s="64"/>
      <c r="H29" s="64"/>
      <c r="I29" s="64"/>
      <c r="J29" s="18"/>
      <c r="K29" s="203">
        <v>0</v>
      </c>
    </row>
    <row r="30" spans="1:19" ht="14.1" customHeight="1" x14ac:dyDescent="0.2">
      <c r="B30" s="34" t="s">
        <v>124</v>
      </c>
      <c r="C30" s="65"/>
      <c r="D30" s="65"/>
      <c r="E30" s="65"/>
      <c r="F30" s="65">
        <v>-27795107.989999998</v>
      </c>
      <c r="G30" s="64"/>
      <c r="H30" s="64"/>
      <c r="I30" s="64"/>
      <c r="J30" s="18">
        <v>-25400344.379999999</v>
      </c>
      <c r="K30" s="203">
        <v>-6500000</v>
      </c>
    </row>
    <row r="31" spans="1:19" ht="14.1" customHeight="1" x14ac:dyDescent="0.2">
      <c r="B31" s="73" t="s">
        <v>93</v>
      </c>
      <c r="C31" s="64">
        <f t="shared" ref="C31:I31" si="4">SUM(C32:C34)</f>
        <v>8788915.790000001</v>
      </c>
      <c r="D31" s="64">
        <f t="shared" si="4"/>
        <v>17091835.300000001</v>
      </c>
      <c r="E31" s="64">
        <f t="shared" si="4"/>
        <v>24126624.52</v>
      </c>
      <c r="F31" s="64">
        <f t="shared" si="4"/>
        <v>43153414.960000001</v>
      </c>
      <c r="G31" s="64">
        <f t="shared" si="4"/>
        <v>7821654.5600000005</v>
      </c>
      <c r="H31" s="64">
        <f t="shared" si="4"/>
        <v>14572121.290000001</v>
      </c>
      <c r="I31" s="64">
        <f t="shared" si="4"/>
        <v>22426035.960000001</v>
      </c>
      <c r="J31" s="18">
        <f>SUM(J32:J34)</f>
        <v>37902604.82</v>
      </c>
      <c r="K31" s="203">
        <f>SUM(K32:K34)</f>
        <v>45540207.800000004</v>
      </c>
    </row>
    <row r="32" spans="1:19" ht="14.1" customHeight="1" x14ac:dyDescent="0.2">
      <c r="B32" s="34" t="s">
        <v>92</v>
      </c>
      <c r="C32" s="65">
        <v>121012.71</v>
      </c>
      <c r="D32" s="65">
        <v>187486.14</v>
      </c>
      <c r="E32" s="65">
        <v>247134.28</v>
      </c>
      <c r="F32" s="65">
        <v>820312.12</v>
      </c>
      <c r="G32" s="64">
        <v>13866.78</v>
      </c>
      <c r="H32" s="64">
        <v>110927.72</v>
      </c>
      <c r="I32" s="64">
        <v>161610.21</v>
      </c>
      <c r="J32" s="18">
        <v>177722.07</v>
      </c>
      <c r="K32" s="203">
        <v>2500000</v>
      </c>
    </row>
    <row r="33" spans="2:11" ht="14.1" customHeight="1" x14ac:dyDescent="0.2">
      <c r="B33" s="34" t="s">
        <v>94</v>
      </c>
      <c r="C33" s="65">
        <v>8667903.0800000001</v>
      </c>
      <c r="D33" s="65">
        <v>16904349.16</v>
      </c>
      <c r="E33" s="65">
        <v>23879490.239999998</v>
      </c>
      <c r="F33" s="65">
        <v>42333102.840000004</v>
      </c>
      <c r="G33" s="64">
        <v>7807787.7800000003</v>
      </c>
      <c r="H33" s="64">
        <v>14461193.57</v>
      </c>
      <c r="I33" s="64">
        <v>22264425.75</v>
      </c>
      <c r="J33" s="18">
        <v>34022444.310000002</v>
      </c>
      <c r="K33" s="203">
        <v>38742035.090000004</v>
      </c>
    </row>
    <row r="34" spans="2:11" ht="14.1" customHeight="1" x14ac:dyDescent="0.2">
      <c r="B34" s="34" t="s">
        <v>95</v>
      </c>
      <c r="C34" s="65"/>
      <c r="D34" s="65"/>
      <c r="E34" s="65"/>
      <c r="F34" s="65"/>
      <c r="G34" s="64"/>
      <c r="H34" s="64"/>
      <c r="I34" s="64"/>
      <c r="J34" s="18">
        <v>3702438.44</v>
      </c>
      <c r="K34" s="203">
        <v>4298172.71</v>
      </c>
    </row>
    <row r="35" spans="2:11" ht="14.1" customHeight="1" x14ac:dyDescent="0.2">
      <c r="B35" s="73" t="s">
        <v>96</v>
      </c>
      <c r="C35" s="64">
        <f t="shared" ref="C35:I35" si="5">SUM(C36:C38)</f>
        <v>-4310901.76</v>
      </c>
      <c r="D35" s="64">
        <f t="shared" si="5"/>
        <v>-8717954.3900000006</v>
      </c>
      <c r="E35" s="64">
        <f t="shared" si="5"/>
        <v>-12451519.459999999</v>
      </c>
      <c r="F35" s="64">
        <f t="shared" si="5"/>
        <v>-15884160.24</v>
      </c>
      <c r="G35" s="64">
        <f t="shared" si="5"/>
        <v>-4504041.28</v>
      </c>
      <c r="H35" s="64">
        <f t="shared" si="5"/>
        <v>-9031752.6099999994</v>
      </c>
      <c r="I35" s="64">
        <f t="shared" si="5"/>
        <v>-13321804.93</v>
      </c>
      <c r="J35" s="18">
        <f>SUM(J36:J38)</f>
        <v>-17853243.350000001</v>
      </c>
      <c r="K35" s="203">
        <f>SUM(K36:K38)</f>
        <v>-16761374.9</v>
      </c>
    </row>
    <row r="36" spans="2:11" ht="14.1" customHeight="1" x14ac:dyDescent="0.2">
      <c r="B36" s="34" t="s">
        <v>143</v>
      </c>
      <c r="C36" s="65">
        <v>-3332477.01</v>
      </c>
      <c r="D36" s="65">
        <v>-6692631.9699999997</v>
      </c>
      <c r="E36" s="65">
        <v>-9470619.0199999996</v>
      </c>
      <c r="F36" s="65">
        <v>-12162506.380000001</v>
      </c>
      <c r="G36" s="64">
        <v>-3386144.17</v>
      </c>
      <c r="H36" s="64">
        <v>-6821914.5800000001</v>
      </c>
      <c r="I36" s="64">
        <v>-10236036.699999999</v>
      </c>
      <c r="J36" s="18">
        <v>-13561736.6</v>
      </c>
      <c r="K36" s="203">
        <v>-12825514.9</v>
      </c>
    </row>
    <row r="37" spans="2:11" ht="14.1" customHeight="1" x14ac:dyDescent="0.2">
      <c r="B37" s="34" t="s">
        <v>97</v>
      </c>
      <c r="C37" s="65">
        <v>-978424.75</v>
      </c>
      <c r="D37" s="65">
        <v>-2025322.42</v>
      </c>
      <c r="E37" s="65">
        <v>-2980900.44</v>
      </c>
      <c r="F37" s="65">
        <v>-3721653.86</v>
      </c>
      <c r="G37" s="64">
        <v>-1117897.1100000001</v>
      </c>
      <c r="H37" s="64">
        <v>-2209838.0299999998</v>
      </c>
      <c r="I37" s="64">
        <v>-3085768.23</v>
      </c>
      <c r="J37" s="18">
        <v>-4291506.75</v>
      </c>
      <c r="K37" s="203">
        <v>-3915860</v>
      </c>
    </row>
    <row r="38" spans="2:11" ht="14.1" customHeight="1" x14ac:dyDescent="0.2">
      <c r="B38" s="34" t="s">
        <v>98</v>
      </c>
      <c r="C38" s="65"/>
      <c r="D38" s="65"/>
      <c r="E38" s="65"/>
      <c r="F38" s="65"/>
      <c r="G38" s="64"/>
      <c r="H38" s="64"/>
      <c r="I38" s="64"/>
      <c r="J38" s="18"/>
      <c r="K38" s="203">
        <v>-20000</v>
      </c>
    </row>
    <row r="39" spans="2:11" ht="14.1" customHeight="1" x14ac:dyDescent="0.2">
      <c r="B39" s="73" t="s">
        <v>99</v>
      </c>
      <c r="C39" s="64">
        <f t="shared" ref="C39:I39" si="6">SUM(C40:C43)</f>
        <v>-9640344.5800000001</v>
      </c>
      <c r="D39" s="64">
        <f t="shared" si="6"/>
        <v>-13673235.439999999</v>
      </c>
      <c r="E39" s="64">
        <f t="shared" si="6"/>
        <v>-20290174.530000001</v>
      </c>
      <c r="F39" s="64">
        <f t="shared" si="6"/>
        <v>-28789420.75</v>
      </c>
      <c r="G39" s="64">
        <f t="shared" si="6"/>
        <v>-3422900.07</v>
      </c>
      <c r="H39" s="64">
        <f t="shared" si="6"/>
        <v>-9492003.5099999998</v>
      </c>
      <c r="I39" s="64">
        <f t="shared" si="6"/>
        <v>-21634834.43</v>
      </c>
      <c r="J39" s="18">
        <f>SUM(J40:J43)</f>
        <v>-39386676.609999999</v>
      </c>
      <c r="K39" s="203">
        <f>SUM(K40:K43)</f>
        <v>-50834047.600000001</v>
      </c>
    </row>
    <row r="40" spans="2:11" ht="14.1" customHeight="1" x14ac:dyDescent="0.2">
      <c r="B40" s="34" t="s">
        <v>100</v>
      </c>
      <c r="C40" s="65">
        <v>-7616567.8099999996</v>
      </c>
      <c r="D40" s="65">
        <v>-12160975.52</v>
      </c>
      <c r="E40" s="65">
        <v>-15443056.960000001</v>
      </c>
      <c r="F40" s="65">
        <v>-21645932.510000002</v>
      </c>
      <c r="G40" s="64">
        <v>-1698197.4</v>
      </c>
      <c r="H40" s="64">
        <v>-6801955.4900000002</v>
      </c>
      <c r="I40" s="64">
        <v>-14989739.289999999</v>
      </c>
      <c r="J40" s="18">
        <v>-30078125.719999999</v>
      </c>
      <c r="K40" s="203">
        <v>-33834047.600000001</v>
      </c>
    </row>
    <row r="41" spans="2:11" ht="14.1" customHeight="1" x14ac:dyDescent="0.2">
      <c r="B41" s="34" t="s">
        <v>101</v>
      </c>
      <c r="C41" s="65">
        <v>-2023776.77</v>
      </c>
      <c r="D41" s="65">
        <v>-1512259.92</v>
      </c>
      <c r="E41" s="65">
        <v>-4847117.57</v>
      </c>
      <c r="F41" s="65">
        <v>-6439836.2400000002</v>
      </c>
      <c r="G41" s="64">
        <v>-1724702.67</v>
      </c>
      <c r="H41" s="64">
        <v>-2690048.02</v>
      </c>
      <c r="I41" s="64">
        <v>-6645095.1399999997</v>
      </c>
      <c r="J41" s="18">
        <v>-8734267.5999999996</v>
      </c>
      <c r="K41" s="203">
        <v>-12000000</v>
      </c>
    </row>
    <row r="42" spans="2:11" ht="14.1" customHeight="1" x14ac:dyDescent="0.2">
      <c r="B42" s="34" t="s">
        <v>102</v>
      </c>
      <c r="C42" s="65"/>
      <c r="D42" s="65"/>
      <c r="E42" s="65"/>
      <c r="F42" s="65">
        <v>-703652</v>
      </c>
      <c r="G42" s="64"/>
      <c r="H42" s="64"/>
      <c r="I42" s="64"/>
      <c r="J42" s="18">
        <v>-574283.29</v>
      </c>
      <c r="K42" s="203">
        <v>-5000000</v>
      </c>
    </row>
    <row r="43" spans="2:11" ht="14.1" customHeight="1" x14ac:dyDescent="0.2">
      <c r="B43" s="34" t="s">
        <v>103</v>
      </c>
      <c r="C43" s="7"/>
      <c r="D43" s="7"/>
      <c r="E43" s="7"/>
      <c r="F43" s="7"/>
      <c r="G43" s="18"/>
      <c r="H43" s="18"/>
      <c r="I43" s="18"/>
      <c r="J43" s="18"/>
      <c r="K43" s="203"/>
    </row>
    <row r="44" spans="2:11" ht="13.5" customHeight="1" x14ac:dyDescent="0.2">
      <c r="B44" s="73" t="s">
        <v>104</v>
      </c>
      <c r="C44" s="18">
        <f t="shared" ref="C44:I44" si="7">SUM(C45:C47)</f>
        <v>-2300862.5</v>
      </c>
      <c r="D44" s="18">
        <f t="shared" si="7"/>
        <v>-4566709.91</v>
      </c>
      <c r="E44" s="18">
        <f t="shared" si="7"/>
        <v>-6796762.7200000007</v>
      </c>
      <c r="F44" s="18">
        <f t="shared" si="7"/>
        <v>-9122639.3500000015</v>
      </c>
      <c r="G44" s="18">
        <f t="shared" si="7"/>
        <v>-2093868.17</v>
      </c>
      <c r="H44" s="18">
        <f t="shared" si="7"/>
        <v>-4152166.39</v>
      </c>
      <c r="I44" s="18">
        <f t="shared" si="7"/>
        <v>-6139929.0699999994</v>
      </c>
      <c r="J44" s="18">
        <f>SUM(J45:J47)</f>
        <v>-8226223.6399999997</v>
      </c>
      <c r="K44" s="203">
        <f>SUM(K45:K47)</f>
        <v>-7900000</v>
      </c>
    </row>
    <row r="45" spans="2:11" ht="13.5" customHeight="1" x14ac:dyDescent="0.2">
      <c r="B45" s="34" t="s">
        <v>105</v>
      </c>
      <c r="C45" s="7">
        <v>-111894.92</v>
      </c>
      <c r="D45" s="7">
        <v>-199979.17</v>
      </c>
      <c r="E45" s="7">
        <v>-264510.03000000003</v>
      </c>
      <c r="F45" s="7">
        <v>-329040.78000000003</v>
      </c>
      <c r="G45" s="18">
        <v>-154416.1</v>
      </c>
      <c r="H45" s="18">
        <v>-304610.03000000003</v>
      </c>
      <c r="I45" s="18">
        <v>-447066.77</v>
      </c>
      <c r="J45" s="18">
        <v>-573751.34</v>
      </c>
      <c r="K45" s="203">
        <v>-450000</v>
      </c>
    </row>
    <row r="46" spans="2:11" ht="13.5" customHeight="1" x14ac:dyDescent="0.2">
      <c r="B46" s="34" t="s">
        <v>106</v>
      </c>
      <c r="C46" s="7">
        <v>-110247.32</v>
      </c>
      <c r="D46" s="7">
        <v>-211090.29</v>
      </c>
      <c r="E46" s="7">
        <v>-301997.28000000003</v>
      </c>
      <c r="F46" s="7">
        <v>-394473.1</v>
      </c>
      <c r="G46" s="18">
        <v>-136859.25</v>
      </c>
      <c r="H46" s="18">
        <v>-270391.49</v>
      </c>
      <c r="I46" s="18">
        <v>-395543.45</v>
      </c>
      <c r="J46" s="18">
        <v>-519140.25</v>
      </c>
      <c r="K46" s="203">
        <v>-450000</v>
      </c>
    </row>
    <row r="47" spans="2:11" ht="13.5" customHeight="1" x14ac:dyDescent="0.2">
      <c r="B47" s="34" t="s">
        <v>107</v>
      </c>
      <c r="C47" s="7">
        <v>-2078720.26</v>
      </c>
      <c r="D47" s="7">
        <v>-4155640.45</v>
      </c>
      <c r="E47" s="7">
        <v>-6230255.4100000001</v>
      </c>
      <c r="F47" s="7">
        <v>-8399125.4700000007</v>
      </c>
      <c r="G47" s="18">
        <v>-1802592.82</v>
      </c>
      <c r="H47" s="18">
        <v>-3577164.87</v>
      </c>
      <c r="I47" s="18">
        <v>-5297318.8499999996</v>
      </c>
      <c r="J47" s="18">
        <v>-7133332.0499999998</v>
      </c>
      <c r="K47" s="203">
        <v>-7000000</v>
      </c>
    </row>
    <row r="48" spans="2:11" ht="13.5" customHeight="1" x14ac:dyDescent="0.2">
      <c r="B48" s="73" t="s">
        <v>108</v>
      </c>
      <c r="C48" s="7">
        <v>1006201.44</v>
      </c>
      <c r="D48" s="7">
        <v>1934477.75</v>
      </c>
      <c r="E48" s="7">
        <v>2862684.14</v>
      </c>
      <c r="F48" s="7">
        <v>3906698.36</v>
      </c>
      <c r="G48" s="18">
        <v>827555.64</v>
      </c>
      <c r="H48" s="18">
        <v>4511936.84</v>
      </c>
      <c r="I48" s="18">
        <v>5325791.5199999996</v>
      </c>
      <c r="J48" s="18">
        <v>6164914.9500000002</v>
      </c>
      <c r="K48" s="203">
        <v>16344846.68</v>
      </c>
    </row>
    <row r="49" spans="2:11" ht="13.5" customHeight="1" x14ac:dyDescent="0.2">
      <c r="B49" s="73" t="s">
        <v>144</v>
      </c>
      <c r="C49" s="7">
        <v>1704200.15</v>
      </c>
      <c r="D49" s="7">
        <v>1704200.15</v>
      </c>
      <c r="E49" s="7">
        <v>1704200.15</v>
      </c>
      <c r="F49" s="7">
        <v>4449185.57</v>
      </c>
      <c r="G49" s="18"/>
      <c r="H49" s="18"/>
      <c r="I49" s="18"/>
      <c r="J49" s="18">
        <v>511222.16</v>
      </c>
      <c r="K49" s="203"/>
    </row>
    <row r="50" spans="2:11" ht="13.5" customHeight="1" x14ac:dyDescent="0.2">
      <c r="B50" s="73" t="s">
        <v>109</v>
      </c>
      <c r="C50" s="18">
        <f t="shared" ref="C50:I50" si="8">SUM(C51:C52)</f>
        <v>139069.59</v>
      </c>
      <c r="D50" s="18">
        <f t="shared" si="8"/>
        <v>243099.67000000004</v>
      </c>
      <c r="E50" s="18">
        <f t="shared" si="8"/>
        <v>565091.58000000007</v>
      </c>
      <c r="F50" s="18">
        <f t="shared" si="8"/>
        <v>506657.72000000003</v>
      </c>
      <c r="G50" s="18">
        <f t="shared" si="8"/>
        <v>0</v>
      </c>
      <c r="H50" s="18">
        <f t="shared" si="8"/>
        <v>11410496.949999999</v>
      </c>
      <c r="I50" s="18">
        <f t="shared" si="8"/>
        <v>13053640.6</v>
      </c>
      <c r="J50" s="18">
        <f>SUM(J51:J52)</f>
        <v>12608502.57</v>
      </c>
      <c r="K50" s="203">
        <f>SUM(K51:K52)</f>
        <v>24800543.600000001</v>
      </c>
    </row>
    <row r="51" spans="2:11" ht="13.5" customHeight="1" x14ac:dyDescent="0.2">
      <c r="B51" s="34" t="s">
        <v>110</v>
      </c>
      <c r="C51" s="7">
        <v>-55048.65</v>
      </c>
      <c r="D51" s="7">
        <v>-126872.67</v>
      </c>
      <c r="E51" s="7">
        <v>-233755.6</v>
      </c>
      <c r="F51" s="7">
        <v>-452280.91</v>
      </c>
      <c r="G51" s="18"/>
      <c r="H51" s="18"/>
      <c r="I51" s="18"/>
      <c r="J51" s="18">
        <v>-462335.85</v>
      </c>
      <c r="K51" s="203"/>
    </row>
    <row r="52" spans="2:11" ht="14.1" customHeight="1" x14ac:dyDescent="0.2">
      <c r="B52" s="34" t="s">
        <v>111</v>
      </c>
      <c r="C52" s="7">
        <v>194118.24</v>
      </c>
      <c r="D52" s="7">
        <v>369972.34</v>
      </c>
      <c r="E52" s="7">
        <v>798847.18</v>
      </c>
      <c r="F52" s="7">
        <v>958938.63</v>
      </c>
      <c r="G52" s="18"/>
      <c r="H52" s="18">
        <v>11410496.949999999</v>
      </c>
      <c r="I52" s="18">
        <v>13053640.6</v>
      </c>
      <c r="J52" s="18">
        <v>13070838.42</v>
      </c>
      <c r="K52" s="203">
        <v>24800543.600000001</v>
      </c>
    </row>
    <row r="53" spans="2:11" ht="14.1" customHeight="1" x14ac:dyDescent="0.2">
      <c r="B53" s="73" t="s">
        <v>112</v>
      </c>
      <c r="C53" s="89">
        <f t="shared" ref="C53:I53" si="9">SUM(C54:C55)</f>
        <v>0</v>
      </c>
      <c r="D53" s="89">
        <f t="shared" si="9"/>
        <v>0</v>
      </c>
      <c r="E53" s="89">
        <f t="shared" si="9"/>
        <v>0</v>
      </c>
      <c r="F53" s="89">
        <f t="shared" si="9"/>
        <v>0</v>
      </c>
      <c r="G53" s="89">
        <f t="shared" si="9"/>
        <v>16244.49</v>
      </c>
      <c r="H53" s="89">
        <f t="shared" si="9"/>
        <v>54044.88</v>
      </c>
      <c r="I53" s="89">
        <f t="shared" si="9"/>
        <v>54018.929999999993</v>
      </c>
      <c r="J53" s="89">
        <f>SUM(J54:J55)</f>
        <v>0</v>
      </c>
      <c r="K53" s="205">
        <f>SUM(K54:K55)</f>
        <v>0</v>
      </c>
    </row>
    <row r="54" spans="2:11" ht="14.1" customHeight="1" x14ac:dyDescent="0.2">
      <c r="B54" s="34" t="s">
        <v>148</v>
      </c>
      <c r="C54" s="78"/>
      <c r="D54" s="78"/>
      <c r="E54" s="78"/>
      <c r="F54" s="78"/>
      <c r="G54" s="89">
        <v>16280.15</v>
      </c>
      <c r="H54" s="89">
        <v>87667.59</v>
      </c>
      <c r="I54" s="89">
        <v>87669.73</v>
      </c>
      <c r="J54" s="18"/>
      <c r="K54" s="203"/>
    </row>
    <row r="55" spans="2:11" ht="14.1" customHeight="1" x14ac:dyDescent="0.2">
      <c r="B55" s="34" t="s">
        <v>149</v>
      </c>
      <c r="C55" s="78"/>
      <c r="D55" s="78"/>
      <c r="E55" s="78"/>
      <c r="F55" s="78"/>
      <c r="G55" s="89">
        <v>-35.659999999999997</v>
      </c>
      <c r="H55" s="89">
        <v>-33622.71</v>
      </c>
      <c r="I55" s="89">
        <v>-33650.800000000003</v>
      </c>
      <c r="J55" s="18"/>
      <c r="K55" s="203"/>
    </row>
    <row r="56" spans="2:11" ht="18" customHeight="1" x14ac:dyDescent="0.2">
      <c r="B56" s="81" t="s">
        <v>127</v>
      </c>
      <c r="C56" s="80">
        <f t="shared" ref="C56:I56" si="10">C13+C24+C25+C26+C31+C35+C39+C44+C48+C49+C50+C53</f>
        <v>-1363015.0499999986</v>
      </c>
      <c r="D56" s="80">
        <f t="shared" si="10"/>
        <v>5418698.0600000042</v>
      </c>
      <c r="E56" s="80">
        <f t="shared" si="10"/>
        <v>2636400.4799999902</v>
      </c>
      <c r="F56" s="80">
        <f t="shared" si="10"/>
        <v>-8302529.2499999991</v>
      </c>
      <c r="G56" s="80">
        <f t="shared" si="10"/>
        <v>3103226.0600000019</v>
      </c>
      <c r="H56" s="80">
        <f t="shared" si="10"/>
        <v>7234219.2399999918</v>
      </c>
      <c r="I56" s="80">
        <f t="shared" si="10"/>
        <v>-476080.9700000041</v>
      </c>
      <c r="J56" s="80">
        <f>J13+J24+J25+J26+J31+J35+J39+J44+J48+J49+J50+J53</f>
        <v>-5422257.0899999812</v>
      </c>
      <c r="K56" s="206">
        <f>K13+K24+K25+K26+K31+K35+K39+K44+K48+K49+K50+K53</f>
        <v>33100000.020000011</v>
      </c>
    </row>
    <row r="57" spans="2:11" ht="14.1" customHeight="1" x14ac:dyDescent="0.2">
      <c r="B57" s="84" t="s">
        <v>113</v>
      </c>
      <c r="C57" s="75">
        <f t="shared" ref="C57:K57" si="11">C58+C61+C64</f>
        <v>179874.31</v>
      </c>
      <c r="D57" s="75">
        <f t="shared" si="11"/>
        <v>341138.18</v>
      </c>
      <c r="E57" s="75">
        <f t="shared" si="11"/>
        <v>475026.07</v>
      </c>
      <c r="F57" s="75">
        <f t="shared" si="11"/>
        <v>604867.59</v>
      </c>
      <c r="G57" s="75">
        <f t="shared" si="11"/>
        <v>239142.7</v>
      </c>
      <c r="H57" s="75">
        <f t="shared" si="11"/>
        <v>435183.59</v>
      </c>
      <c r="I57" s="75">
        <f t="shared" si="11"/>
        <v>625693.28</v>
      </c>
      <c r="J57" s="75">
        <f t="shared" si="11"/>
        <v>822338.8</v>
      </c>
      <c r="K57" s="207">
        <f t="shared" si="11"/>
        <v>900000</v>
      </c>
    </row>
    <row r="58" spans="2:11" ht="14.1" customHeight="1" x14ac:dyDescent="0.2">
      <c r="B58" s="35" t="s">
        <v>114</v>
      </c>
      <c r="C58" s="18">
        <f t="shared" ref="C58:K58" si="12">SUM(C59:C60)</f>
        <v>179874.31</v>
      </c>
      <c r="D58" s="18">
        <f t="shared" si="12"/>
        <v>341138.18</v>
      </c>
      <c r="E58" s="18">
        <f t="shared" si="12"/>
        <v>475026.07</v>
      </c>
      <c r="F58" s="18">
        <f t="shared" si="12"/>
        <v>604867.59</v>
      </c>
      <c r="G58" s="18">
        <f t="shared" si="12"/>
        <v>0</v>
      </c>
      <c r="H58" s="18">
        <f t="shared" si="12"/>
        <v>0</v>
      </c>
      <c r="I58" s="18">
        <f t="shared" si="12"/>
        <v>0</v>
      </c>
      <c r="J58" s="18">
        <f t="shared" si="12"/>
        <v>822338.8</v>
      </c>
      <c r="K58" s="203">
        <f t="shared" si="12"/>
        <v>0</v>
      </c>
    </row>
    <row r="59" spans="2:11" ht="14.1" customHeight="1" x14ac:dyDescent="0.2">
      <c r="B59" s="35" t="s">
        <v>160</v>
      </c>
      <c r="C59" s="7"/>
      <c r="D59" s="7"/>
      <c r="E59" s="7"/>
      <c r="F59" s="7"/>
      <c r="G59" s="18"/>
      <c r="H59" s="18"/>
      <c r="I59" s="18"/>
      <c r="J59" s="18"/>
      <c r="K59" s="203"/>
    </row>
    <row r="60" spans="2:11" ht="14.1" customHeight="1" x14ac:dyDescent="0.2">
      <c r="B60" s="35" t="s">
        <v>161</v>
      </c>
      <c r="C60" s="7">
        <v>179874.31</v>
      </c>
      <c r="D60" s="7">
        <v>341138.18</v>
      </c>
      <c r="E60" s="7">
        <v>475026.07</v>
      </c>
      <c r="F60" s="7">
        <v>604867.59</v>
      </c>
      <c r="G60" s="18"/>
      <c r="H60" s="18"/>
      <c r="I60" s="18"/>
      <c r="J60" s="18">
        <v>822338.8</v>
      </c>
      <c r="K60" s="203"/>
    </row>
    <row r="61" spans="2:11" ht="14.1" customHeight="1" x14ac:dyDescent="0.2">
      <c r="B61" s="35" t="s">
        <v>145</v>
      </c>
      <c r="C61" s="18">
        <f t="shared" ref="C61:K61" si="13">SUM(C62:C63)</f>
        <v>0</v>
      </c>
      <c r="D61" s="18">
        <f t="shared" si="13"/>
        <v>0</v>
      </c>
      <c r="E61" s="18">
        <f t="shared" si="13"/>
        <v>0</v>
      </c>
      <c r="F61" s="18">
        <f t="shared" si="13"/>
        <v>0</v>
      </c>
      <c r="G61" s="18">
        <f t="shared" si="13"/>
        <v>239142.7</v>
      </c>
      <c r="H61" s="18">
        <f t="shared" si="13"/>
        <v>435183.59</v>
      </c>
      <c r="I61" s="18">
        <f t="shared" si="13"/>
        <v>625693.28</v>
      </c>
      <c r="J61" s="18">
        <f t="shared" si="13"/>
        <v>0</v>
      </c>
      <c r="K61" s="203">
        <f t="shared" si="13"/>
        <v>900000</v>
      </c>
    </row>
    <row r="62" spans="2:11" ht="14.1" customHeight="1" x14ac:dyDescent="0.2">
      <c r="B62" s="35" t="s">
        <v>162</v>
      </c>
      <c r="C62" s="7"/>
      <c r="D62" s="7"/>
      <c r="E62" s="7"/>
      <c r="F62" s="7"/>
      <c r="G62" s="18"/>
      <c r="H62" s="18"/>
      <c r="I62" s="18"/>
      <c r="J62" s="18"/>
      <c r="K62" s="203"/>
    </row>
    <row r="63" spans="2:11" ht="14.1" customHeight="1" x14ac:dyDescent="0.2">
      <c r="B63" s="35" t="s">
        <v>163</v>
      </c>
      <c r="C63" s="7"/>
      <c r="D63" s="7"/>
      <c r="E63" s="7"/>
      <c r="F63" s="7"/>
      <c r="G63" s="18">
        <v>239142.7</v>
      </c>
      <c r="H63" s="18">
        <v>435183.59</v>
      </c>
      <c r="I63" s="18">
        <v>625693.28</v>
      </c>
      <c r="J63" s="18"/>
      <c r="K63" s="203">
        <v>900000</v>
      </c>
    </row>
    <row r="64" spans="2:11" ht="14.1" customHeight="1" x14ac:dyDescent="0.2">
      <c r="B64" s="35" t="s">
        <v>178</v>
      </c>
      <c r="C64" s="7"/>
      <c r="D64" s="7"/>
      <c r="E64" s="7"/>
      <c r="F64" s="7"/>
      <c r="G64" s="18"/>
      <c r="H64" s="18"/>
      <c r="I64" s="18"/>
      <c r="J64" s="18"/>
      <c r="K64" s="203"/>
    </row>
    <row r="65" spans="2:11" ht="14.1" customHeight="1" x14ac:dyDescent="0.2">
      <c r="B65" s="83" t="s">
        <v>118</v>
      </c>
      <c r="C65" s="18">
        <f t="shared" ref="C65:I65" si="14">SUM(C66:C68)</f>
        <v>-4741467.47</v>
      </c>
      <c r="D65" s="18">
        <f t="shared" si="14"/>
        <v>-13449094.300000001</v>
      </c>
      <c r="E65" s="18">
        <f t="shared" si="14"/>
        <v>-19210359.02</v>
      </c>
      <c r="F65" s="18">
        <f t="shared" si="14"/>
        <v>-26048775.949999999</v>
      </c>
      <c r="G65" s="18">
        <f t="shared" si="14"/>
        <v>-3296675.91</v>
      </c>
      <c r="H65" s="18">
        <f t="shared" si="14"/>
        <v>-6944416.54</v>
      </c>
      <c r="I65" s="18">
        <f t="shared" si="14"/>
        <v>-11383735.529999999</v>
      </c>
      <c r="J65" s="75">
        <f>SUM(J66:J68)</f>
        <v>-21668341.629999999</v>
      </c>
      <c r="K65" s="207">
        <f>SUM(K66:K68)</f>
        <v>-34000000</v>
      </c>
    </row>
    <row r="66" spans="2:11" ht="14.1" customHeight="1" x14ac:dyDescent="0.2">
      <c r="B66" s="35" t="s">
        <v>157</v>
      </c>
      <c r="C66" s="7"/>
      <c r="D66" s="7"/>
      <c r="E66" s="7"/>
      <c r="F66" s="7"/>
      <c r="G66" s="18"/>
      <c r="H66" s="18"/>
      <c r="I66" s="18"/>
      <c r="J66" s="18"/>
      <c r="K66" s="203"/>
    </row>
    <row r="67" spans="2:11" ht="14.1" customHeight="1" x14ac:dyDescent="0.2">
      <c r="B67" s="35" t="s">
        <v>115</v>
      </c>
      <c r="C67" s="7">
        <v>-4741467.47</v>
      </c>
      <c r="D67" s="7">
        <v>-13449094.300000001</v>
      </c>
      <c r="E67" s="7">
        <v>-19210359.02</v>
      </c>
      <c r="F67" s="7">
        <v>-26048775.949999999</v>
      </c>
      <c r="G67" s="18">
        <v>-3296675.91</v>
      </c>
      <c r="H67" s="18">
        <v>-6944416.54</v>
      </c>
      <c r="I67" s="18">
        <v>-11383735.529999999</v>
      </c>
      <c r="J67" s="18">
        <v>-21668341.629999999</v>
      </c>
      <c r="K67" s="203">
        <v>-34000000</v>
      </c>
    </row>
    <row r="68" spans="2:11" ht="14.1" customHeight="1" x14ac:dyDescent="0.2">
      <c r="B68" s="35" t="s">
        <v>146</v>
      </c>
      <c r="C68" s="7"/>
      <c r="D68" s="7"/>
      <c r="E68" s="7"/>
      <c r="F68" s="7"/>
      <c r="G68" s="18"/>
      <c r="H68" s="18"/>
      <c r="I68" s="18"/>
      <c r="J68" s="18"/>
      <c r="K68" s="203"/>
    </row>
    <row r="69" spans="2:11" ht="14.1" customHeight="1" x14ac:dyDescent="0.2">
      <c r="B69" s="83" t="s">
        <v>119</v>
      </c>
      <c r="C69" s="75">
        <f t="shared" ref="C69:I69" si="15">SUM(C70:C71)</f>
        <v>0</v>
      </c>
      <c r="D69" s="75">
        <f t="shared" si="15"/>
        <v>0</v>
      </c>
      <c r="E69" s="75">
        <f t="shared" si="15"/>
        <v>0</v>
      </c>
      <c r="F69" s="75">
        <f t="shared" si="15"/>
        <v>0</v>
      </c>
      <c r="G69" s="75">
        <f t="shared" si="15"/>
        <v>0</v>
      </c>
      <c r="H69" s="75">
        <f t="shared" si="15"/>
        <v>0</v>
      </c>
      <c r="I69" s="75">
        <f t="shared" si="15"/>
        <v>0</v>
      </c>
      <c r="J69" s="75">
        <f>SUM(J70:J71)</f>
        <v>0</v>
      </c>
      <c r="K69" s="207">
        <f>SUM(K70:K71)</f>
        <v>0</v>
      </c>
    </row>
    <row r="70" spans="2:11" ht="14.1" customHeight="1" x14ac:dyDescent="0.2">
      <c r="B70" s="35" t="s">
        <v>116</v>
      </c>
      <c r="C70" s="7"/>
      <c r="D70" s="7"/>
      <c r="E70" s="7"/>
      <c r="F70" s="7"/>
      <c r="G70" s="18"/>
      <c r="H70" s="18"/>
      <c r="I70" s="18"/>
      <c r="J70" s="18"/>
      <c r="K70" s="203"/>
    </row>
    <row r="71" spans="2:11" ht="14.1" customHeight="1" x14ac:dyDescent="0.2">
      <c r="B71" s="35" t="s">
        <v>117</v>
      </c>
      <c r="C71" s="7"/>
      <c r="D71" s="7"/>
      <c r="E71" s="7"/>
      <c r="F71" s="7"/>
      <c r="G71" s="18"/>
      <c r="H71" s="18"/>
      <c r="I71" s="18"/>
      <c r="J71" s="18"/>
      <c r="K71" s="203"/>
    </row>
    <row r="72" spans="2:11" ht="14.1" customHeight="1" x14ac:dyDescent="0.2">
      <c r="B72" s="83" t="s">
        <v>120</v>
      </c>
      <c r="C72" s="7"/>
      <c r="D72" s="7"/>
      <c r="E72" s="7"/>
      <c r="F72" s="7"/>
      <c r="G72" s="18"/>
      <c r="H72" s="18"/>
      <c r="I72" s="18"/>
      <c r="J72" s="18"/>
      <c r="K72" s="203"/>
    </row>
    <row r="73" spans="2:11" ht="14.1" customHeight="1" x14ac:dyDescent="0.2">
      <c r="B73" s="73" t="s">
        <v>125</v>
      </c>
      <c r="C73" s="18">
        <f t="shared" ref="C73:I73" si="16">SUM(C74:C75)</f>
        <v>0</v>
      </c>
      <c r="D73" s="18">
        <f t="shared" si="16"/>
        <v>0</v>
      </c>
      <c r="E73" s="18">
        <f t="shared" si="16"/>
        <v>0</v>
      </c>
      <c r="F73" s="18">
        <f t="shared" si="16"/>
        <v>0</v>
      </c>
      <c r="G73" s="18">
        <f t="shared" si="16"/>
        <v>0</v>
      </c>
      <c r="H73" s="18">
        <f t="shared" si="16"/>
        <v>0</v>
      </c>
      <c r="I73" s="18">
        <f t="shared" si="16"/>
        <v>0</v>
      </c>
      <c r="J73" s="18">
        <f>SUM(J74:J75)</f>
        <v>0</v>
      </c>
      <c r="K73" s="203">
        <f>SUM(K74:K75)</f>
        <v>0</v>
      </c>
    </row>
    <row r="74" spans="2:11" ht="14.1" customHeight="1" x14ac:dyDescent="0.2">
      <c r="B74" s="34" t="s">
        <v>110</v>
      </c>
      <c r="C74" s="7"/>
      <c r="D74" s="7"/>
      <c r="E74" s="7"/>
      <c r="F74" s="7"/>
      <c r="G74" s="18"/>
      <c r="H74" s="18"/>
      <c r="I74" s="18"/>
      <c r="J74" s="18"/>
      <c r="K74" s="203"/>
    </row>
    <row r="75" spans="2:11" ht="14.1" customHeight="1" x14ac:dyDescent="0.2">
      <c r="B75" s="34" t="s">
        <v>147</v>
      </c>
      <c r="C75" s="76"/>
      <c r="D75" s="76"/>
      <c r="E75" s="76"/>
      <c r="F75" s="76"/>
      <c r="G75" s="75"/>
      <c r="H75" s="75"/>
      <c r="I75" s="75"/>
      <c r="J75" s="75"/>
      <c r="K75" s="207"/>
    </row>
    <row r="76" spans="2:11" ht="18" customHeight="1" x14ac:dyDescent="0.2">
      <c r="B76" s="79" t="s">
        <v>128</v>
      </c>
      <c r="C76" s="80">
        <f t="shared" ref="C76:I76" si="17">C57+C65+C69+C72+C73</f>
        <v>-4561593.16</v>
      </c>
      <c r="D76" s="80">
        <f t="shared" si="17"/>
        <v>-13107956.120000001</v>
      </c>
      <c r="E76" s="80">
        <f t="shared" si="17"/>
        <v>-18735332.949999999</v>
      </c>
      <c r="F76" s="80">
        <f t="shared" si="17"/>
        <v>-25443908.359999999</v>
      </c>
      <c r="G76" s="80">
        <f t="shared" si="17"/>
        <v>-3057533.21</v>
      </c>
      <c r="H76" s="80">
        <f t="shared" si="17"/>
        <v>-6509232.9500000002</v>
      </c>
      <c r="I76" s="80">
        <f t="shared" si="17"/>
        <v>-10758042.25</v>
      </c>
      <c r="J76" s="80">
        <f>J57+J65+J69+J72+J73</f>
        <v>-20846002.829999998</v>
      </c>
      <c r="K76" s="206">
        <f>K57+K65+K69+K72+K73</f>
        <v>-33100000</v>
      </c>
    </row>
    <row r="77" spans="2:11" ht="18" customHeight="1" x14ac:dyDescent="0.2">
      <c r="B77" s="79" t="s">
        <v>129</v>
      </c>
      <c r="C77" s="80">
        <f t="shared" ref="C77:I77" si="18">C56+C76</f>
        <v>-5924608.209999999</v>
      </c>
      <c r="D77" s="80">
        <f t="shared" si="18"/>
        <v>-7689258.0599999968</v>
      </c>
      <c r="E77" s="80">
        <f t="shared" si="18"/>
        <v>-16098932.47000001</v>
      </c>
      <c r="F77" s="80">
        <f t="shared" si="18"/>
        <v>-33746437.609999999</v>
      </c>
      <c r="G77" s="80">
        <f t="shared" si="18"/>
        <v>45692.850000001956</v>
      </c>
      <c r="H77" s="80">
        <f t="shared" si="18"/>
        <v>724986.28999999166</v>
      </c>
      <c r="I77" s="80">
        <f t="shared" si="18"/>
        <v>-11234123.220000004</v>
      </c>
      <c r="J77" s="80">
        <f>J56+J76</f>
        <v>-26268259.919999979</v>
      </c>
      <c r="K77" s="206">
        <f>K56+K76</f>
        <v>2.000001072883606E-2</v>
      </c>
    </row>
    <row r="78" spans="2:11" ht="14.1" customHeight="1" x14ac:dyDescent="0.2">
      <c r="B78" s="83" t="s">
        <v>121</v>
      </c>
      <c r="C78" s="76"/>
      <c r="D78" s="76"/>
      <c r="E78" s="76"/>
      <c r="F78" s="76"/>
      <c r="G78" s="75"/>
      <c r="H78" s="75"/>
      <c r="I78" s="75"/>
      <c r="J78" s="75"/>
      <c r="K78" s="207"/>
    </row>
    <row r="79" spans="2:11" ht="18" customHeight="1" x14ac:dyDescent="0.2">
      <c r="B79" s="79" t="s">
        <v>130</v>
      </c>
      <c r="C79" s="80">
        <f t="shared" ref="C79:I79" si="19">C77+C78</f>
        <v>-5924608.209999999</v>
      </c>
      <c r="D79" s="80">
        <f t="shared" si="19"/>
        <v>-7689258.0599999968</v>
      </c>
      <c r="E79" s="80">
        <f t="shared" si="19"/>
        <v>-16098932.47000001</v>
      </c>
      <c r="F79" s="80">
        <f t="shared" si="19"/>
        <v>-33746437.609999999</v>
      </c>
      <c r="G79" s="80">
        <f t="shared" si="19"/>
        <v>45692.850000001956</v>
      </c>
      <c r="H79" s="80">
        <f t="shared" si="19"/>
        <v>724986.28999999166</v>
      </c>
      <c r="I79" s="80">
        <f t="shared" si="19"/>
        <v>-11234123.220000004</v>
      </c>
      <c r="J79" s="80">
        <f>J77+J78</f>
        <v>-26268259.919999979</v>
      </c>
      <c r="K79" s="206">
        <f>K77+K78</f>
        <v>2.000001072883606E-2</v>
      </c>
    </row>
    <row r="80" spans="2:11" ht="14.1" customHeight="1" x14ac:dyDescent="0.2">
      <c r="B80" s="41"/>
      <c r="C80" s="75"/>
      <c r="D80" s="75"/>
      <c r="E80" s="75"/>
      <c r="F80" s="75"/>
      <c r="G80" s="75"/>
      <c r="H80" s="75"/>
      <c r="I80" s="75"/>
      <c r="J80" s="75"/>
      <c r="K80" s="207"/>
    </row>
    <row r="81" spans="2:42" ht="14.1" customHeight="1" x14ac:dyDescent="0.2">
      <c r="B81" s="85" t="s">
        <v>122</v>
      </c>
      <c r="C81" s="18"/>
      <c r="D81" s="18"/>
      <c r="E81" s="18"/>
      <c r="F81" s="18"/>
      <c r="G81" s="18"/>
      <c r="H81" s="18"/>
      <c r="I81" s="18"/>
      <c r="J81" s="18"/>
      <c r="K81" s="203"/>
    </row>
    <row r="82" spans="2:42" ht="14.1" customHeight="1" x14ac:dyDescent="0.2">
      <c r="B82" s="83" t="s">
        <v>126</v>
      </c>
      <c r="C82" s="7"/>
      <c r="D82" s="87"/>
      <c r="E82" s="87"/>
      <c r="F82" s="87"/>
      <c r="G82" s="18"/>
      <c r="H82" s="91"/>
      <c r="I82" s="91"/>
      <c r="J82" s="18"/>
      <c r="K82" s="203"/>
    </row>
    <row r="83" spans="2:42" ht="14.1" customHeight="1" thickBot="1" x14ac:dyDescent="0.25">
      <c r="B83" s="83"/>
      <c r="C83" s="75"/>
      <c r="D83" s="77"/>
      <c r="E83" s="77"/>
      <c r="F83" s="77"/>
      <c r="G83" s="75"/>
      <c r="H83" s="77"/>
      <c r="I83" s="77"/>
      <c r="J83" s="211"/>
      <c r="K83" s="208"/>
    </row>
    <row r="84" spans="2:42" ht="18" customHeight="1" thickTop="1" thickBot="1" x14ac:dyDescent="0.25">
      <c r="B84" s="82" t="s">
        <v>123</v>
      </c>
      <c r="C84" s="86">
        <f t="shared" ref="C84:I84" si="20">C79+C82</f>
        <v>-5924608.209999999</v>
      </c>
      <c r="D84" s="86">
        <f t="shared" si="20"/>
        <v>-7689258.0599999968</v>
      </c>
      <c r="E84" s="86">
        <f t="shared" si="20"/>
        <v>-16098932.47000001</v>
      </c>
      <c r="F84" s="86">
        <f t="shared" si="20"/>
        <v>-33746437.609999999</v>
      </c>
      <c r="G84" s="86">
        <f t="shared" si="20"/>
        <v>45692.850000001956</v>
      </c>
      <c r="H84" s="86">
        <f t="shared" si="20"/>
        <v>724986.28999999166</v>
      </c>
      <c r="I84" s="86">
        <f t="shared" si="20"/>
        <v>-11234123.220000004</v>
      </c>
      <c r="J84" s="86">
        <f>J79+J82</f>
        <v>-26268259.919999979</v>
      </c>
      <c r="K84" s="209">
        <f>K79+K82</f>
        <v>2.000001072883606E-2</v>
      </c>
    </row>
    <row r="85" spans="2:42" ht="14.1" customHeight="1" x14ac:dyDescent="0.2">
      <c r="B85" s="66"/>
      <c r="C85" s="67"/>
      <c r="D85" s="67"/>
      <c r="E85" s="67"/>
      <c r="F85" s="67"/>
      <c r="G85" s="67"/>
      <c r="H85" s="67"/>
      <c r="I85" s="67"/>
      <c r="J85" s="67"/>
    </row>
    <row r="86" spans="2:42" ht="14.1" customHeight="1" x14ac:dyDescent="0.2">
      <c r="B86" s="68"/>
      <c r="C86" s="68"/>
      <c r="D86" s="68"/>
      <c r="E86" s="68"/>
      <c r="F86" s="68"/>
      <c r="G86" s="68"/>
      <c r="H86" s="68"/>
      <c r="I86" s="68"/>
      <c r="J86" s="68"/>
      <c r="K86" s="68"/>
    </row>
    <row r="87" spans="2:42" ht="14.1" customHeight="1" x14ac:dyDescent="0.2">
      <c r="B87" s="69"/>
      <c r="C87" s="70"/>
      <c r="D87" s="70"/>
      <c r="E87" s="70"/>
      <c r="F87" s="70"/>
      <c r="G87" s="70"/>
      <c r="H87" s="70"/>
      <c r="I87" s="70"/>
      <c r="J87" s="70"/>
    </row>
    <row r="88" spans="2:42" customFormat="1" hidden="1" x14ac:dyDescent="0.2">
      <c r="B88" s="169" t="s">
        <v>217</v>
      </c>
      <c r="C88" s="170" t="str">
        <f>C10</f>
        <v>31.03.12</v>
      </c>
      <c r="D88" s="170" t="str">
        <f t="shared" ref="D88:J88" si="21">D10</f>
        <v>30.06.12</v>
      </c>
      <c r="E88" s="170" t="str">
        <f t="shared" si="21"/>
        <v>30.09.12</v>
      </c>
      <c r="F88" s="170" t="str">
        <f t="shared" si="21"/>
        <v>31.12.12</v>
      </c>
      <c r="G88" s="170" t="str">
        <f t="shared" si="21"/>
        <v>31.03.11</v>
      </c>
      <c r="H88" s="170" t="str">
        <f t="shared" si="21"/>
        <v>30.06.11</v>
      </c>
      <c r="I88" s="170" t="str">
        <f t="shared" si="21"/>
        <v>30.09.11</v>
      </c>
      <c r="J88" s="170" t="str">
        <f t="shared" si="21"/>
        <v>31.12.11</v>
      </c>
      <c r="K88" s="171" t="s">
        <v>246</v>
      </c>
      <c r="L88" s="172" t="s">
        <v>218</v>
      </c>
      <c r="M88" s="170" t="str">
        <f>C10</f>
        <v>31.03.12</v>
      </c>
      <c r="N88" s="170" t="str">
        <f t="shared" ref="N88:T88" si="22">D10</f>
        <v>30.06.12</v>
      </c>
      <c r="O88" s="170" t="str">
        <f t="shared" si="22"/>
        <v>30.09.12</v>
      </c>
      <c r="P88" s="170" t="str">
        <f t="shared" si="22"/>
        <v>31.12.12</v>
      </c>
      <c r="Q88" s="170" t="str">
        <f t="shared" si="22"/>
        <v>31.03.11</v>
      </c>
      <c r="R88" s="170" t="str">
        <f t="shared" si="22"/>
        <v>30.06.11</v>
      </c>
      <c r="S88" s="170" t="str">
        <f t="shared" si="22"/>
        <v>30.09.11</v>
      </c>
      <c r="T88" s="170" t="str">
        <f t="shared" si="22"/>
        <v>31.12.11</v>
      </c>
      <c r="U88" s="173" t="str">
        <f>K88</f>
        <v>Presupuesto 2012</v>
      </c>
      <c r="W88" s="174" t="s">
        <v>217</v>
      </c>
      <c r="X88" s="170" t="str">
        <f t="shared" ref="X88:AF88" si="23">C88</f>
        <v>31.03.12</v>
      </c>
      <c r="Y88" s="170" t="str">
        <f t="shared" si="23"/>
        <v>30.06.12</v>
      </c>
      <c r="Z88" s="170" t="str">
        <f t="shared" si="23"/>
        <v>30.09.12</v>
      </c>
      <c r="AA88" s="170" t="str">
        <f t="shared" si="23"/>
        <v>31.12.12</v>
      </c>
      <c r="AB88" s="170" t="str">
        <f t="shared" si="23"/>
        <v>31.03.11</v>
      </c>
      <c r="AC88" s="170" t="str">
        <f t="shared" si="23"/>
        <v>30.06.11</v>
      </c>
      <c r="AD88" s="170" t="str">
        <f t="shared" si="23"/>
        <v>30.09.11</v>
      </c>
      <c r="AE88" s="170" t="str">
        <f t="shared" si="23"/>
        <v>31.12.11</v>
      </c>
      <c r="AF88" s="173" t="str">
        <f t="shared" si="23"/>
        <v>Presupuesto 2012</v>
      </c>
      <c r="AG88" s="175" t="s">
        <v>218</v>
      </c>
      <c r="AH88" s="170" t="str">
        <f>X88</f>
        <v>31.03.12</v>
      </c>
      <c r="AI88" s="170" t="str">
        <f t="shared" ref="AI88:AP88" si="24">Y88</f>
        <v>30.06.12</v>
      </c>
      <c r="AJ88" s="170" t="str">
        <f t="shared" si="24"/>
        <v>30.09.12</v>
      </c>
      <c r="AK88" s="170" t="str">
        <f t="shared" si="24"/>
        <v>31.12.12</v>
      </c>
      <c r="AL88" s="170" t="str">
        <f t="shared" si="24"/>
        <v>31.03.11</v>
      </c>
      <c r="AM88" s="170" t="str">
        <f t="shared" si="24"/>
        <v>30.06.11</v>
      </c>
      <c r="AN88" s="170" t="str">
        <f t="shared" si="24"/>
        <v>30.09.11</v>
      </c>
      <c r="AO88" s="170" t="str">
        <f t="shared" si="24"/>
        <v>31.12.11</v>
      </c>
      <c r="AP88" s="176" t="str">
        <f t="shared" si="24"/>
        <v>Presupuesto 2012</v>
      </c>
    </row>
    <row r="89" spans="2:42" customFormat="1" ht="12.75" hidden="1" customHeight="1" x14ac:dyDescent="0.2">
      <c r="B89" s="177" t="s">
        <v>219</v>
      </c>
      <c r="C89" s="178">
        <f>-C26</f>
        <v>18056141.48</v>
      </c>
      <c r="D89" s="178">
        <f t="shared" ref="D89:K89" si="25">-D26</f>
        <v>33528510.66</v>
      </c>
      <c r="E89" s="178">
        <f t="shared" si="25"/>
        <v>48831623.210000001</v>
      </c>
      <c r="F89" s="178">
        <f t="shared" si="25"/>
        <v>108717920.55</v>
      </c>
      <c r="G89" s="178">
        <f t="shared" si="25"/>
        <v>15735332.859999999</v>
      </c>
      <c r="H89" s="178">
        <f t="shared" si="25"/>
        <v>52504663.670000002</v>
      </c>
      <c r="I89" s="178">
        <f t="shared" si="25"/>
        <v>50291576.020000003</v>
      </c>
      <c r="J89" s="178">
        <f t="shared" si="25"/>
        <v>107870661.72999999</v>
      </c>
      <c r="K89" s="178">
        <f t="shared" si="25"/>
        <v>135307714.19999999</v>
      </c>
      <c r="L89" s="179" t="s">
        <v>220</v>
      </c>
      <c r="M89" s="178">
        <f>C13</f>
        <v>15399280.57</v>
      </c>
      <c r="N89" s="178">
        <f t="shared" ref="N89:U89" si="26">D13</f>
        <v>52083071.32</v>
      </c>
      <c r="O89" s="178">
        <f t="shared" si="26"/>
        <v>91108738.049999997</v>
      </c>
      <c r="P89" s="178">
        <f t="shared" si="26"/>
        <v>122740300.75</v>
      </c>
      <c r="Q89" s="178">
        <f t="shared" si="26"/>
        <v>12041242.82</v>
      </c>
      <c r="R89" s="178">
        <f t="shared" si="26"/>
        <v>53597645.299999997</v>
      </c>
      <c r="S89" s="178">
        <f t="shared" si="26"/>
        <v>47485840.880000003</v>
      </c>
      <c r="T89" s="178">
        <f t="shared" si="26"/>
        <v>89807542.5</v>
      </c>
      <c r="U89" s="180">
        <f t="shared" si="26"/>
        <v>140328260</v>
      </c>
      <c r="W89" s="181" t="s">
        <v>221</v>
      </c>
      <c r="X89" s="179">
        <f>IF(C24&lt;0,C24,0)</f>
        <v>0</v>
      </c>
      <c r="Y89" s="179">
        <f t="shared" ref="Y89:AF89" si="27">IF(D24&lt;0,D24,0)</f>
        <v>-7151575.7300000004</v>
      </c>
      <c r="Z89" s="179">
        <f t="shared" si="27"/>
        <v>-29360858.039999999</v>
      </c>
      <c r="AA89" s="179">
        <f t="shared" si="27"/>
        <v>-21028803.16</v>
      </c>
      <c r="AB89" s="179">
        <f t="shared" si="27"/>
        <v>0</v>
      </c>
      <c r="AC89" s="179">
        <f t="shared" si="27"/>
        <v>-1731439.84</v>
      </c>
      <c r="AD89" s="179">
        <f t="shared" si="27"/>
        <v>0</v>
      </c>
      <c r="AE89" s="179">
        <f t="shared" si="27"/>
        <v>0</v>
      </c>
      <c r="AF89" s="182">
        <f t="shared" si="27"/>
        <v>0</v>
      </c>
      <c r="AG89" s="179"/>
      <c r="AH89" s="183">
        <f>IF(C24&gt;0,C24,0)</f>
        <v>5907567.7300000004</v>
      </c>
      <c r="AI89" s="183">
        <f t="shared" ref="AI89:AP89" si="28">IF(D24&gt;0,D24,0)</f>
        <v>0</v>
      </c>
      <c r="AJ89" s="183">
        <f t="shared" si="28"/>
        <v>0</v>
      </c>
      <c r="AK89" s="183">
        <f t="shared" si="28"/>
        <v>0</v>
      </c>
      <c r="AL89" s="183">
        <f t="shared" si="28"/>
        <v>8152670.9299999997</v>
      </c>
      <c r="AM89" s="183">
        <f t="shared" si="28"/>
        <v>0</v>
      </c>
      <c r="AN89" s="183">
        <f t="shared" si="28"/>
        <v>2566735.59</v>
      </c>
      <c r="AO89" s="183">
        <f t="shared" si="28"/>
        <v>13761992.98</v>
      </c>
      <c r="AP89" s="184">
        <f t="shared" si="28"/>
        <v>16889278.640000001</v>
      </c>
    </row>
    <row r="90" spans="2:42" customFormat="1" ht="12.75" hidden="1" customHeight="1" x14ac:dyDescent="0.2">
      <c r="B90" s="177" t="s">
        <v>222</v>
      </c>
      <c r="C90" s="178">
        <f>-C35</f>
        <v>4310901.76</v>
      </c>
      <c r="D90" s="178">
        <f t="shared" ref="D90:K90" si="29">-D35</f>
        <v>8717954.3900000006</v>
      </c>
      <c r="E90" s="178">
        <f t="shared" si="29"/>
        <v>12451519.459999999</v>
      </c>
      <c r="F90" s="178">
        <f t="shared" si="29"/>
        <v>15884160.24</v>
      </c>
      <c r="G90" s="178">
        <f t="shared" si="29"/>
        <v>4504041.28</v>
      </c>
      <c r="H90" s="178">
        <f t="shared" si="29"/>
        <v>9031752.6099999994</v>
      </c>
      <c r="I90" s="178">
        <f t="shared" si="29"/>
        <v>13321804.93</v>
      </c>
      <c r="J90" s="178">
        <f t="shared" si="29"/>
        <v>17853243.350000001</v>
      </c>
      <c r="K90" s="178">
        <f t="shared" si="29"/>
        <v>16761374.9</v>
      </c>
      <c r="L90" s="179" t="s">
        <v>223</v>
      </c>
      <c r="M90" s="178">
        <f>C33+C34</f>
        <v>8667903.0800000001</v>
      </c>
      <c r="N90" s="178">
        <f t="shared" ref="N90:U90" si="30">D33+D34</f>
        <v>16904349.16</v>
      </c>
      <c r="O90" s="178">
        <f t="shared" si="30"/>
        <v>23879490.239999998</v>
      </c>
      <c r="P90" s="178">
        <f t="shared" si="30"/>
        <v>42333102.840000004</v>
      </c>
      <c r="Q90" s="178">
        <f t="shared" si="30"/>
        <v>7807787.7800000003</v>
      </c>
      <c r="R90" s="178">
        <f t="shared" si="30"/>
        <v>14461193.57</v>
      </c>
      <c r="S90" s="178">
        <f t="shared" si="30"/>
        <v>22264425.75</v>
      </c>
      <c r="T90" s="178">
        <f t="shared" si="30"/>
        <v>37724882.75</v>
      </c>
      <c r="U90" s="180">
        <f t="shared" si="30"/>
        <v>43040207.800000004</v>
      </c>
      <c r="W90" s="73" t="s">
        <v>224</v>
      </c>
      <c r="X90" s="179">
        <f>IF(C50&lt;0,C50,0)</f>
        <v>0</v>
      </c>
      <c r="Y90" s="179">
        <f t="shared" ref="Y90:AF90" si="31">IF(D50&lt;0,D50,0)</f>
        <v>0</v>
      </c>
      <c r="Z90" s="179">
        <f t="shared" si="31"/>
        <v>0</v>
      </c>
      <c r="AA90" s="179">
        <f t="shared" si="31"/>
        <v>0</v>
      </c>
      <c r="AB90" s="179">
        <f t="shared" si="31"/>
        <v>0</v>
      </c>
      <c r="AC90" s="179">
        <f t="shared" si="31"/>
        <v>0</v>
      </c>
      <c r="AD90" s="179">
        <f t="shared" si="31"/>
        <v>0</v>
      </c>
      <c r="AE90" s="179">
        <f t="shared" si="31"/>
        <v>0</v>
      </c>
      <c r="AF90" s="182">
        <f t="shared" si="31"/>
        <v>0</v>
      </c>
      <c r="AG90" s="179"/>
      <c r="AH90" s="183">
        <f>IF(C50&gt;0,C50,0)</f>
        <v>139069.59</v>
      </c>
      <c r="AI90" s="183">
        <f t="shared" ref="AI90:AP90" si="32">IF(D50&gt;0,D50,0)</f>
        <v>243099.67000000004</v>
      </c>
      <c r="AJ90" s="183">
        <f t="shared" si="32"/>
        <v>565091.58000000007</v>
      </c>
      <c r="AK90" s="183">
        <f t="shared" si="32"/>
        <v>506657.72000000003</v>
      </c>
      <c r="AL90" s="183">
        <f t="shared" si="32"/>
        <v>0</v>
      </c>
      <c r="AM90" s="183">
        <f t="shared" si="32"/>
        <v>11410496.949999999</v>
      </c>
      <c r="AN90" s="183">
        <f t="shared" si="32"/>
        <v>13053640.6</v>
      </c>
      <c r="AO90" s="183">
        <f t="shared" si="32"/>
        <v>12608502.57</v>
      </c>
      <c r="AP90" s="184">
        <f t="shared" si="32"/>
        <v>24800543.600000001</v>
      </c>
    </row>
    <row r="91" spans="2:42" customFormat="1" ht="12.75" hidden="1" customHeight="1" x14ac:dyDescent="0.2">
      <c r="B91" s="177" t="s">
        <v>225</v>
      </c>
      <c r="C91" s="178">
        <f>-C44</f>
        <v>2300862.5</v>
      </c>
      <c r="D91" s="178">
        <f t="shared" ref="D91:K91" si="33">-D44</f>
        <v>4566709.91</v>
      </c>
      <c r="E91" s="178">
        <f t="shared" si="33"/>
        <v>6796762.7200000007</v>
      </c>
      <c r="F91" s="178">
        <f t="shared" si="33"/>
        <v>9122639.3500000015</v>
      </c>
      <c r="G91" s="178">
        <f t="shared" si="33"/>
        <v>2093868.17</v>
      </c>
      <c r="H91" s="178">
        <f t="shared" si="33"/>
        <v>4152166.39</v>
      </c>
      <c r="I91" s="178">
        <f t="shared" si="33"/>
        <v>6139929.0699999994</v>
      </c>
      <c r="J91" s="178">
        <f t="shared" si="33"/>
        <v>8226223.6399999997</v>
      </c>
      <c r="K91" s="178">
        <f t="shared" si="33"/>
        <v>7900000</v>
      </c>
      <c r="L91" s="179" t="s">
        <v>226</v>
      </c>
      <c r="M91" s="178">
        <f>C32</f>
        <v>121012.71</v>
      </c>
      <c r="N91" s="178">
        <f t="shared" ref="N91:U91" si="34">D32</f>
        <v>187486.14</v>
      </c>
      <c r="O91" s="178">
        <f t="shared" si="34"/>
        <v>247134.28</v>
      </c>
      <c r="P91" s="178">
        <f t="shared" si="34"/>
        <v>820312.12</v>
      </c>
      <c r="Q91" s="178">
        <f t="shared" si="34"/>
        <v>13866.78</v>
      </c>
      <c r="R91" s="178">
        <f t="shared" si="34"/>
        <v>110927.72</v>
      </c>
      <c r="S91" s="178">
        <f t="shared" si="34"/>
        <v>161610.21</v>
      </c>
      <c r="T91" s="178">
        <f t="shared" si="34"/>
        <v>177722.07</v>
      </c>
      <c r="U91" s="180">
        <f t="shared" si="34"/>
        <v>2500000</v>
      </c>
      <c r="W91" s="83" t="s">
        <v>227</v>
      </c>
      <c r="X91" s="179">
        <f>IF(C69&lt;0,C69,0)</f>
        <v>0</v>
      </c>
      <c r="Y91" s="179">
        <f t="shared" ref="Y91:AF91" si="35">IF(D69&lt;0,D69,0)</f>
        <v>0</v>
      </c>
      <c r="Z91" s="179">
        <f t="shared" si="35"/>
        <v>0</v>
      </c>
      <c r="AA91" s="179">
        <f t="shared" si="35"/>
        <v>0</v>
      </c>
      <c r="AB91" s="179">
        <f t="shared" si="35"/>
        <v>0</v>
      </c>
      <c r="AC91" s="179">
        <f t="shared" si="35"/>
        <v>0</v>
      </c>
      <c r="AD91" s="179">
        <f t="shared" si="35"/>
        <v>0</v>
      </c>
      <c r="AE91" s="179">
        <f t="shared" si="35"/>
        <v>0</v>
      </c>
      <c r="AF91" s="182">
        <f t="shared" si="35"/>
        <v>0</v>
      </c>
      <c r="AG91" s="179"/>
      <c r="AH91" s="183">
        <f>IF(C69&gt;0,C69,0)</f>
        <v>0</v>
      </c>
      <c r="AI91" s="183">
        <f t="shared" ref="AI91:AP91" si="36">IF(D69&gt;0,D69,0)</f>
        <v>0</v>
      </c>
      <c r="AJ91" s="183">
        <f t="shared" si="36"/>
        <v>0</v>
      </c>
      <c r="AK91" s="183">
        <f t="shared" si="36"/>
        <v>0</v>
      </c>
      <c r="AL91" s="183">
        <f t="shared" si="36"/>
        <v>0</v>
      </c>
      <c r="AM91" s="183">
        <f t="shared" si="36"/>
        <v>0</v>
      </c>
      <c r="AN91" s="183">
        <f t="shared" si="36"/>
        <v>0</v>
      </c>
      <c r="AO91" s="183">
        <f t="shared" si="36"/>
        <v>0</v>
      </c>
      <c r="AP91" s="184">
        <f t="shared" si="36"/>
        <v>0</v>
      </c>
    </row>
    <row r="92" spans="2:42" customFormat="1" ht="12.75" hidden="1" customHeight="1" x14ac:dyDescent="0.2">
      <c r="B92" s="177" t="s">
        <v>228</v>
      </c>
      <c r="C92" s="178">
        <f>-C39</f>
        <v>9640344.5800000001</v>
      </c>
      <c r="D92" s="178">
        <f t="shared" ref="D92:K92" si="37">-D39</f>
        <v>13673235.439999999</v>
      </c>
      <c r="E92" s="178">
        <f t="shared" si="37"/>
        <v>20290174.530000001</v>
      </c>
      <c r="F92" s="178">
        <f t="shared" si="37"/>
        <v>28789420.75</v>
      </c>
      <c r="G92" s="178">
        <f t="shared" si="37"/>
        <v>3422900.07</v>
      </c>
      <c r="H92" s="178">
        <f t="shared" si="37"/>
        <v>9492003.5099999998</v>
      </c>
      <c r="I92" s="178">
        <f t="shared" si="37"/>
        <v>21634834.43</v>
      </c>
      <c r="J92" s="178">
        <f t="shared" si="37"/>
        <v>39386676.609999999</v>
      </c>
      <c r="K92" s="178">
        <f t="shared" si="37"/>
        <v>50834047.600000001</v>
      </c>
      <c r="L92" s="179" t="s">
        <v>229</v>
      </c>
      <c r="M92" s="178">
        <f>C48</f>
        <v>1006201.44</v>
      </c>
      <c r="N92" s="178">
        <f t="shared" ref="N92:U92" si="38">D48</f>
        <v>1934477.75</v>
      </c>
      <c r="O92" s="178">
        <f t="shared" si="38"/>
        <v>2862684.14</v>
      </c>
      <c r="P92" s="178">
        <f t="shared" si="38"/>
        <v>3906698.36</v>
      </c>
      <c r="Q92" s="178">
        <f t="shared" si="38"/>
        <v>827555.64</v>
      </c>
      <c r="R92" s="178">
        <f t="shared" si="38"/>
        <v>4511936.84</v>
      </c>
      <c r="S92" s="178">
        <f t="shared" si="38"/>
        <v>5325791.5199999996</v>
      </c>
      <c r="T92" s="178">
        <f t="shared" si="38"/>
        <v>6164914.9500000002</v>
      </c>
      <c r="U92" s="180">
        <f t="shared" si="38"/>
        <v>16344846.68</v>
      </c>
      <c r="W92" s="83" t="s">
        <v>230</v>
      </c>
      <c r="X92" s="179">
        <f>IF(C72&lt;0,C72,0)</f>
        <v>0</v>
      </c>
      <c r="Y92" s="179">
        <f t="shared" ref="Y92:AF93" si="39">IF(D72&lt;0,D72,0)</f>
        <v>0</v>
      </c>
      <c r="Z92" s="179">
        <f t="shared" si="39"/>
        <v>0</v>
      </c>
      <c r="AA92" s="179">
        <f t="shared" si="39"/>
        <v>0</v>
      </c>
      <c r="AB92" s="179">
        <f t="shared" si="39"/>
        <v>0</v>
      </c>
      <c r="AC92" s="179">
        <f t="shared" si="39"/>
        <v>0</v>
      </c>
      <c r="AD92" s="179">
        <f t="shared" si="39"/>
        <v>0</v>
      </c>
      <c r="AE92" s="179">
        <f t="shared" si="39"/>
        <v>0</v>
      </c>
      <c r="AF92" s="182">
        <f t="shared" si="39"/>
        <v>0</v>
      </c>
      <c r="AG92" s="179"/>
      <c r="AH92" s="183">
        <f>IF(C72&gt;0,C72,0)</f>
        <v>0</v>
      </c>
      <c r="AI92" s="183">
        <f t="shared" ref="AI92:AP93" si="40">IF(D72&gt;0,D72,0)</f>
        <v>0</v>
      </c>
      <c r="AJ92" s="183">
        <f t="shared" si="40"/>
        <v>0</v>
      </c>
      <c r="AK92" s="183">
        <f t="shared" si="40"/>
        <v>0</v>
      </c>
      <c r="AL92" s="183">
        <f t="shared" si="40"/>
        <v>0</v>
      </c>
      <c r="AM92" s="183">
        <f t="shared" si="40"/>
        <v>0</v>
      </c>
      <c r="AN92" s="183">
        <f t="shared" si="40"/>
        <v>0</v>
      </c>
      <c r="AO92" s="183">
        <f t="shared" si="40"/>
        <v>0</v>
      </c>
      <c r="AP92" s="184">
        <f t="shared" si="40"/>
        <v>0</v>
      </c>
    </row>
    <row r="93" spans="2:42" customFormat="1" ht="12.75" hidden="1" customHeight="1" x14ac:dyDescent="0.2">
      <c r="B93" s="185" t="s">
        <v>231</v>
      </c>
      <c r="C93" s="178">
        <f>-C65</f>
        <v>4741467.47</v>
      </c>
      <c r="D93" s="178">
        <f t="shared" ref="D93:K93" si="41">-D65</f>
        <v>13449094.300000001</v>
      </c>
      <c r="E93" s="178">
        <f t="shared" si="41"/>
        <v>19210359.02</v>
      </c>
      <c r="F93" s="178">
        <f t="shared" si="41"/>
        <v>26048775.949999999</v>
      </c>
      <c r="G93" s="178">
        <f t="shared" si="41"/>
        <v>3296675.91</v>
      </c>
      <c r="H93" s="178">
        <f t="shared" si="41"/>
        <v>6944416.54</v>
      </c>
      <c r="I93" s="178">
        <f t="shared" si="41"/>
        <v>11383735.529999999</v>
      </c>
      <c r="J93" s="178">
        <f t="shared" si="41"/>
        <v>21668341.629999999</v>
      </c>
      <c r="K93" s="178">
        <f t="shared" si="41"/>
        <v>34000000</v>
      </c>
      <c r="L93" s="179" t="s">
        <v>231</v>
      </c>
      <c r="M93" s="178">
        <f>C57</f>
        <v>179874.31</v>
      </c>
      <c r="N93" s="178">
        <f t="shared" ref="N93:U93" si="42">D57</f>
        <v>341138.18</v>
      </c>
      <c r="O93" s="178">
        <f t="shared" si="42"/>
        <v>475026.07</v>
      </c>
      <c r="P93" s="178">
        <f t="shared" si="42"/>
        <v>604867.59</v>
      </c>
      <c r="Q93" s="178">
        <f t="shared" si="42"/>
        <v>239142.7</v>
      </c>
      <c r="R93" s="178">
        <f t="shared" si="42"/>
        <v>435183.59</v>
      </c>
      <c r="S93" s="178">
        <f t="shared" si="42"/>
        <v>625693.28</v>
      </c>
      <c r="T93" s="178">
        <f t="shared" si="42"/>
        <v>822338.8</v>
      </c>
      <c r="U93" s="180">
        <f t="shared" si="42"/>
        <v>900000</v>
      </c>
      <c r="W93" s="73" t="s">
        <v>232</v>
      </c>
      <c r="X93" s="179">
        <f>IF(C73&lt;0,C73,0)</f>
        <v>0</v>
      </c>
      <c r="Y93" s="179">
        <f t="shared" si="39"/>
        <v>0</v>
      </c>
      <c r="Z93" s="179">
        <f t="shared" si="39"/>
        <v>0</v>
      </c>
      <c r="AA93" s="179">
        <f t="shared" si="39"/>
        <v>0</v>
      </c>
      <c r="AB93" s="179">
        <f t="shared" si="39"/>
        <v>0</v>
      </c>
      <c r="AC93" s="179">
        <f t="shared" si="39"/>
        <v>0</v>
      </c>
      <c r="AD93" s="179">
        <f t="shared" si="39"/>
        <v>0</v>
      </c>
      <c r="AE93" s="179">
        <f t="shared" si="39"/>
        <v>0</v>
      </c>
      <c r="AF93" s="182">
        <f t="shared" si="39"/>
        <v>0</v>
      </c>
      <c r="AG93" s="179"/>
      <c r="AH93" s="183">
        <f>IF(C73&gt;0,C73,0)</f>
        <v>0</v>
      </c>
      <c r="AI93" s="183">
        <f t="shared" si="40"/>
        <v>0</v>
      </c>
      <c r="AJ93" s="183">
        <f t="shared" si="40"/>
        <v>0</v>
      </c>
      <c r="AK93" s="183">
        <f t="shared" si="40"/>
        <v>0</v>
      </c>
      <c r="AL93" s="183">
        <f t="shared" si="40"/>
        <v>0</v>
      </c>
      <c r="AM93" s="183">
        <f t="shared" si="40"/>
        <v>0</v>
      </c>
      <c r="AN93" s="183">
        <f t="shared" si="40"/>
        <v>0</v>
      </c>
      <c r="AO93" s="183">
        <f t="shared" si="40"/>
        <v>0</v>
      </c>
      <c r="AP93" s="184">
        <f t="shared" si="40"/>
        <v>0</v>
      </c>
    </row>
    <row r="94" spans="2:42" customFormat="1" ht="12.75" hidden="1" customHeight="1" x14ac:dyDescent="0.2">
      <c r="B94" s="185" t="s">
        <v>233</v>
      </c>
      <c r="C94" s="178">
        <f>-C78</f>
        <v>0</v>
      </c>
      <c r="D94" s="178">
        <f t="shared" ref="D94:K94" si="43">-D78</f>
        <v>0</v>
      </c>
      <c r="E94" s="178">
        <f t="shared" si="43"/>
        <v>0</v>
      </c>
      <c r="F94" s="178">
        <f t="shared" si="43"/>
        <v>0</v>
      </c>
      <c r="G94" s="178">
        <f t="shared" si="43"/>
        <v>0</v>
      </c>
      <c r="H94" s="178">
        <f t="shared" si="43"/>
        <v>0</v>
      </c>
      <c r="I94" s="178">
        <f t="shared" si="43"/>
        <v>0</v>
      </c>
      <c r="J94" s="178">
        <f t="shared" si="43"/>
        <v>0</v>
      </c>
      <c r="K94" s="178">
        <f t="shared" si="43"/>
        <v>0</v>
      </c>
      <c r="L94" s="179" t="s">
        <v>234</v>
      </c>
      <c r="M94" s="178">
        <f>AH95+C25+C49+C54</f>
        <v>7750837.4700000007</v>
      </c>
      <c r="N94" s="178">
        <f t="shared" ref="N94:U94" si="44">AI95+D25+D49+D54</f>
        <v>1947299.8199999998</v>
      </c>
      <c r="O94" s="178">
        <f t="shared" si="44"/>
        <v>2269291.73</v>
      </c>
      <c r="P94" s="178">
        <f t="shared" si="44"/>
        <v>5440000.7300000004</v>
      </c>
      <c r="Q94" s="178">
        <f t="shared" si="44"/>
        <v>8168951.0800000001</v>
      </c>
      <c r="R94" s="178">
        <f t="shared" si="44"/>
        <v>11498164.539999999</v>
      </c>
      <c r="S94" s="178">
        <f t="shared" si="44"/>
        <v>15708045.92</v>
      </c>
      <c r="T94" s="178">
        <f t="shared" si="44"/>
        <v>34039485.969999999</v>
      </c>
      <c r="U94" s="180">
        <f t="shared" si="44"/>
        <v>41689822.240000002</v>
      </c>
      <c r="W94" s="83" t="s">
        <v>235</v>
      </c>
      <c r="X94" s="186">
        <f>IF(C82&lt;0,C82,0)</f>
        <v>0</v>
      </c>
      <c r="Y94" s="186">
        <f t="shared" ref="Y94:AF94" si="45">IF(D82&lt;0,D82,0)</f>
        <v>0</v>
      </c>
      <c r="Z94" s="186">
        <f t="shared" si="45"/>
        <v>0</v>
      </c>
      <c r="AA94" s="186">
        <f t="shared" si="45"/>
        <v>0</v>
      </c>
      <c r="AB94" s="186">
        <f t="shared" si="45"/>
        <v>0</v>
      </c>
      <c r="AC94" s="186">
        <f t="shared" si="45"/>
        <v>0</v>
      </c>
      <c r="AD94" s="186">
        <f t="shared" si="45"/>
        <v>0</v>
      </c>
      <c r="AE94" s="186">
        <f t="shared" si="45"/>
        <v>0</v>
      </c>
      <c r="AF94" s="187">
        <f t="shared" si="45"/>
        <v>0</v>
      </c>
      <c r="AG94" s="179"/>
      <c r="AH94" s="183">
        <f>IF(C82&gt;0,C82,0)</f>
        <v>0</v>
      </c>
      <c r="AI94" s="183">
        <f t="shared" ref="AI94:AP94" si="46">IF(D82&gt;0,D82,0)</f>
        <v>0</v>
      </c>
      <c r="AJ94" s="183">
        <f t="shared" si="46"/>
        <v>0</v>
      </c>
      <c r="AK94" s="183">
        <f t="shared" si="46"/>
        <v>0</v>
      </c>
      <c r="AL94" s="183">
        <f t="shared" si="46"/>
        <v>0</v>
      </c>
      <c r="AM94" s="183">
        <f t="shared" si="46"/>
        <v>0</v>
      </c>
      <c r="AN94" s="183">
        <f t="shared" si="46"/>
        <v>0</v>
      </c>
      <c r="AO94" s="183">
        <f t="shared" si="46"/>
        <v>0</v>
      </c>
      <c r="AP94" s="184">
        <f t="shared" si="46"/>
        <v>0</v>
      </c>
    </row>
    <row r="95" spans="2:42" customFormat="1" ht="13.5" hidden="1" thickBot="1" x14ac:dyDescent="0.25">
      <c r="B95" s="185" t="s">
        <v>236</v>
      </c>
      <c r="C95" s="178">
        <f>-X95-C55</f>
        <v>0</v>
      </c>
      <c r="D95" s="178">
        <f t="shared" ref="D95:K95" si="47">-Y95-D55</f>
        <v>7151575.7300000004</v>
      </c>
      <c r="E95" s="178">
        <f t="shared" si="47"/>
        <v>29360858.039999999</v>
      </c>
      <c r="F95" s="178">
        <f t="shared" si="47"/>
        <v>21028803.16</v>
      </c>
      <c r="G95" s="178">
        <f t="shared" si="47"/>
        <v>35.659999999999997</v>
      </c>
      <c r="H95" s="178">
        <f t="shared" si="47"/>
        <v>1765062.55</v>
      </c>
      <c r="I95" s="178">
        <f t="shared" si="47"/>
        <v>33650.800000000003</v>
      </c>
      <c r="J95" s="178">
        <f t="shared" si="47"/>
        <v>0</v>
      </c>
      <c r="K95" s="178">
        <f t="shared" si="47"/>
        <v>0</v>
      </c>
      <c r="L95" s="188" t="s">
        <v>237</v>
      </c>
      <c r="M95" s="189">
        <f>SUM(M89:M94)</f>
        <v>33125109.579999998</v>
      </c>
      <c r="N95" s="189">
        <f t="shared" ref="N95:U95" si="48">SUM(N89:N94)</f>
        <v>73397822.370000005</v>
      </c>
      <c r="O95" s="189">
        <f t="shared" si="48"/>
        <v>120842364.50999999</v>
      </c>
      <c r="P95" s="189">
        <f t="shared" si="48"/>
        <v>175845282.39000002</v>
      </c>
      <c r="Q95" s="189">
        <f t="shared" si="48"/>
        <v>29098546.800000004</v>
      </c>
      <c r="R95" s="189">
        <f t="shared" si="48"/>
        <v>84615051.560000002</v>
      </c>
      <c r="S95" s="189">
        <f t="shared" si="48"/>
        <v>91571407.559999987</v>
      </c>
      <c r="T95" s="189">
        <f t="shared" si="48"/>
        <v>168736887.03999999</v>
      </c>
      <c r="U95" s="190">
        <f t="shared" si="48"/>
        <v>244803136.72000003</v>
      </c>
      <c r="W95" s="191" t="s">
        <v>237</v>
      </c>
      <c r="X95" s="192">
        <f>SUM(X89:X94)</f>
        <v>0</v>
      </c>
      <c r="Y95" s="192">
        <f t="shared" ref="Y95:AF95" si="49">SUM(Y89:Y94)</f>
        <v>-7151575.7300000004</v>
      </c>
      <c r="Z95" s="192">
        <f t="shared" si="49"/>
        <v>-29360858.039999999</v>
      </c>
      <c r="AA95" s="192">
        <f t="shared" si="49"/>
        <v>-21028803.16</v>
      </c>
      <c r="AB95" s="192">
        <f t="shared" si="49"/>
        <v>0</v>
      </c>
      <c r="AC95" s="192">
        <f t="shared" si="49"/>
        <v>-1731439.84</v>
      </c>
      <c r="AD95" s="192">
        <f t="shared" si="49"/>
        <v>0</v>
      </c>
      <c r="AE95" s="192">
        <f t="shared" si="49"/>
        <v>0</v>
      </c>
      <c r="AF95" s="193">
        <f t="shared" si="49"/>
        <v>0</v>
      </c>
      <c r="AG95" s="194"/>
      <c r="AH95" s="194">
        <f>SUM(AH89:AH94)</f>
        <v>6046637.3200000003</v>
      </c>
      <c r="AI95" s="194">
        <f t="shared" ref="AI95:AP95" si="50">SUM(AI89:AI94)</f>
        <v>243099.67000000004</v>
      </c>
      <c r="AJ95" s="194">
        <f t="shared" si="50"/>
        <v>565091.58000000007</v>
      </c>
      <c r="AK95" s="194">
        <f t="shared" si="50"/>
        <v>506657.72000000003</v>
      </c>
      <c r="AL95" s="194">
        <f t="shared" si="50"/>
        <v>8152670.9299999997</v>
      </c>
      <c r="AM95" s="194">
        <f t="shared" si="50"/>
        <v>11410496.949999999</v>
      </c>
      <c r="AN95" s="194">
        <f t="shared" si="50"/>
        <v>15620376.189999999</v>
      </c>
      <c r="AO95" s="194">
        <f t="shared" si="50"/>
        <v>26370495.550000001</v>
      </c>
      <c r="AP95" s="195">
        <f t="shared" si="50"/>
        <v>41689822.240000002</v>
      </c>
    </row>
    <row r="96" spans="2:42" s="196" customFormat="1" hidden="1" x14ac:dyDescent="0.2">
      <c r="B96" s="197" t="s">
        <v>237</v>
      </c>
      <c r="C96" s="189">
        <f>SUM(C89:C95)</f>
        <v>39049717.789999999</v>
      </c>
      <c r="D96" s="189">
        <f t="shared" ref="D96:K96" si="51">SUM(D89:D95)</f>
        <v>81087080.429999992</v>
      </c>
      <c r="E96" s="189">
        <f t="shared" si="51"/>
        <v>136941296.97999999</v>
      </c>
      <c r="F96" s="189">
        <f t="shared" si="51"/>
        <v>209591719.99999997</v>
      </c>
      <c r="G96" s="189">
        <f t="shared" si="51"/>
        <v>29052853.950000003</v>
      </c>
      <c r="H96" s="189">
        <f t="shared" si="51"/>
        <v>83890065.270000011</v>
      </c>
      <c r="I96" s="189">
        <f t="shared" si="51"/>
        <v>102805530.77999999</v>
      </c>
      <c r="J96" s="189">
        <f t="shared" si="51"/>
        <v>195005146.95999998</v>
      </c>
      <c r="K96" s="189">
        <f t="shared" si="51"/>
        <v>244803136.69999999</v>
      </c>
      <c r="L96" s="188"/>
      <c r="M96" s="188"/>
      <c r="N96" s="188"/>
      <c r="O96" s="188"/>
      <c r="P96" s="188"/>
      <c r="Q96" s="188"/>
      <c r="R96" s="188"/>
      <c r="S96" s="188"/>
      <c r="T96" s="188"/>
      <c r="U96" s="198"/>
      <c r="W96" s="188"/>
      <c r="X96" s="188"/>
      <c r="Y96" s="188"/>
      <c r="Z96" s="188"/>
    </row>
    <row r="97" spans="2:21" customFormat="1" hidden="1" x14ac:dyDescent="0.2">
      <c r="B97" s="177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82"/>
    </row>
    <row r="98" spans="2:21" customFormat="1" ht="13.5" hidden="1" thickBot="1" x14ac:dyDescent="0.25">
      <c r="B98" s="199" t="s">
        <v>189</v>
      </c>
      <c r="C98" s="192">
        <f t="shared" ref="C98:K98" si="52">M95-C96</f>
        <v>-5924608.2100000009</v>
      </c>
      <c r="D98" s="192">
        <f t="shared" si="52"/>
        <v>-7689258.0599999875</v>
      </c>
      <c r="E98" s="192">
        <f t="shared" si="52"/>
        <v>-16098932.469999999</v>
      </c>
      <c r="F98" s="192">
        <f t="shared" si="52"/>
        <v>-33746437.609999955</v>
      </c>
      <c r="G98" s="192">
        <f t="shared" si="52"/>
        <v>45692.85000000149</v>
      </c>
      <c r="H98" s="192">
        <f t="shared" si="52"/>
        <v>724986.28999999166</v>
      </c>
      <c r="I98" s="192">
        <f t="shared" si="52"/>
        <v>-11234123.219999999</v>
      </c>
      <c r="J98" s="192">
        <f t="shared" si="52"/>
        <v>-26268259.919999987</v>
      </c>
      <c r="K98" s="192">
        <f t="shared" si="52"/>
        <v>2.0000040531158447E-2</v>
      </c>
      <c r="L98" s="194"/>
      <c r="M98" s="194"/>
      <c r="N98" s="194"/>
      <c r="O98" s="194"/>
      <c r="P98" s="194"/>
      <c r="Q98" s="194"/>
      <c r="R98" s="194"/>
      <c r="S98" s="194"/>
      <c r="T98" s="194"/>
      <c r="U98" s="200"/>
    </row>
    <row r="99" spans="2:21" ht="14.1" customHeight="1" x14ac:dyDescent="0.2"/>
    <row r="100" spans="2:21" ht="14.1" customHeight="1" x14ac:dyDescent="0.2"/>
    <row r="101" spans="2:21" ht="14.1" customHeight="1" x14ac:dyDescent="0.2"/>
    <row r="102" spans="2:21" ht="14.1" customHeight="1" x14ac:dyDescent="0.2"/>
    <row r="103" spans="2:21" ht="14.1" customHeight="1" x14ac:dyDescent="0.2"/>
    <row r="104" spans="2:21" ht="14.1" customHeight="1" x14ac:dyDescent="0.2"/>
    <row r="105" spans="2:21" ht="14.1" customHeight="1" x14ac:dyDescent="0.2"/>
    <row r="106" spans="2:21" ht="14.1" customHeight="1" x14ac:dyDescent="0.2"/>
    <row r="107" spans="2:21" ht="14.1" customHeight="1" x14ac:dyDescent="0.2"/>
    <row r="108" spans="2:21" ht="14.1" customHeight="1" x14ac:dyDescent="0.2"/>
    <row r="109" spans="2:21" ht="14.1" customHeight="1" x14ac:dyDescent="0.2"/>
    <row r="110" spans="2:21" ht="14.1" customHeight="1" x14ac:dyDescent="0.2"/>
    <row r="111" spans="2:21" ht="14.1" customHeight="1" x14ac:dyDescent="0.2"/>
    <row r="112" spans="2:21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</sheetData>
  <mergeCells count="3">
    <mergeCell ref="P9:Q9"/>
    <mergeCell ref="R9:S9"/>
    <mergeCell ref="N10:O10"/>
  </mergeCells>
  <phoneticPr fontId="0" type="noConversion"/>
  <conditionalFormatting sqref="C15:K18 C20:K23 C25:K25 C32:K34 C48:K49 C54:K54 C59:K60 C62:K64">
    <cfRule type="cellIs" dxfId="1" priority="1" stopIfTrue="1" operator="lessThan">
      <formula>0</formula>
    </cfRule>
  </conditionalFormatting>
  <conditionalFormatting sqref="C29:K29 C36:K37 C40:K40 C43:K43 C45:K47 C55:K55 C66:K68">
    <cfRule type="cellIs" dxfId="0" priority="2" stopIfTrue="1" operator="greaterThan">
      <formula>0</formula>
    </cfRule>
  </conditionalFormatting>
  <printOptions horizontalCentered="1" verticalCentered="1"/>
  <pageMargins left="0.75" right="0.75" top="1" bottom="1" header="0" footer="0"/>
  <pageSetup paperSize="9" scale="4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2415EC-3771-4D72-839C-488E60977859}"/>
</file>

<file path=customXml/itemProps2.xml><?xml version="1.0" encoding="utf-8"?>
<ds:datastoreItem xmlns:ds="http://schemas.openxmlformats.org/officeDocument/2006/customXml" ds:itemID="{1C5C7AA0-CADD-49FA-9026-4EF6B8F6AF75}"/>
</file>

<file path=customXml/itemProps3.xml><?xml version="1.0" encoding="utf-8"?>
<ds:datastoreItem xmlns:ds="http://schemas.openxmlformats.org/officeDocument/2006/customXml" ds:itemID="{0597C0BC-1AD0-44A9-9122-5888EA5EF44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1T</vt:lpstr>
      <vt:lpstr>2T </vt:lpstr>
      <vt:lpstr>3T</vt:lpstr>
      <vt:lpstr>4T</vt:lpstr>
      <vt:lpstr>RATIOS</vt:lpstr>
      <vt:lpstr>BAL</vt:lpstr>
      <vt:lpstr>PyG</vt:lpstr>
      <vt:lpstr>BAL!Área_de_impresión</vt:lpstr>
      <vt:lpstr>PyG!Área_de_impresión</vt:lpstr>
      <vt:lpstr>BAL!Auto_abrir_</vt:lpstr>
      <vt:lpstr>PyG!Auto_abrir_</vt:lpstr>
      <vt:lpstr>RATIOS!Auto_abrir_</vt:lpstr>
      <vt:lpstr>BAL!Auto_abrir__</vt:lpstr>
      <vt:lpstr>PyG!Auto_abrir__</vt:lpstr>
      <vt:lpstr>BAL!Auto_abrir___</vt:lpstr>
      <vt:lpstr>PyG!Auto_abrir___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2013-03-05T07:39:45Z</cp:lastPrinted>
  <dcterms:created xsi:type="dcterms:W3CDTF">2012-04-30T09:30:26Z</dcterms:created>
  <dcterms:modified xsi:type="dcterms:W3CDTF">2015-10-05T15:04:28Z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PALABRA CLAVE">
    <vt:lpwstr>22</vt:lpwstr>
  </property>
  <property fmtid="{D5CDD505-2E9C-101B-9397-08002B2CF9AE}" pid="4" name="Order">
    <vt:r8>6700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